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b0991b83c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hicles" sheetId="1" r:id="Re37ca664bf554bf9"/>
    <x:sheet xmlns:r="http://schemas.openxmlformats.org/officeDocument/2006/relationships" name="Evidence" sheetId="2" r:id="Ra0ebe48f8b4b460f"/>
    <x:sheet xmlns:r="http://schemas.openxmlformats.org/officeDocument/2006/relationships" name="Candidates" sheetId="3" r:id="R7b27c05c57df46b4"/>
    <x:sheet xmlns:r="http://schemas.openxmlformats.org/officeDocument/2006/relationships" name="Price Screen" sheetId="4" r:id="Ra9537dd639a04b9c"/>
    <x:sheet xmlns:r="http://schemas.openxmlformats.org/officeDocument/2006/relationships" name="Research Leads" sheetId="5" r:id="Rfacaa15c538e433b"/>
    <x:sheet xmlns:r="http://schemas.openxmlformats.org/officeDocument/2006/relationships" name="Part 1 Comparison" sheetId="6" r:id="R759d6517a4e3468b"/>
    <x:sheet xmlns:r="http://schemas.openxmlformats.org/officeDocument/2006/relationships" name="Part 2 Incentives" sheetId="7" r:id="R876a5eb02afe481c"/>
    <x:sheet xmlns:r="http://schemas.openxmlformats.org/officeDocument/2006/relationships" name="Part 2 Best Value" sheetId="8" r:id="Rfc0f10535d0442dd"/>
    <x:sheet xmlns:r="http://schemas.openxmlformats.org/officeDocument/2006/relationships" name="Part 3 Break-Even" sheetId="9" r:id="R6a02a5464ed54ec0"/>
    <x:sheet xmlns:r="http://schemas.openxmlformats.org/officeDocument/2006/relationships" name="Extra Credit - Chinese EVs" sheetId="10" r:id="R3c8f806a1fa04e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5">
    <x:numFmt numFmtId="200" formatCode="&quot;$&quot;#,##0"/>
    <x:numFmt numFmtId="201" formatCode="0.00"/>
    <x:numFmt numFmtId="202" formatCode="0.0"/>
    <x:numFmt numFmtId="203" formatCode="mmm d, yyyy"/>
    <x:numFmt numFmtId="204" formatCode="0.0000"/>
    <x:numFmt numFmtId="205" formatCode="0.000"/>
    <x:numFmt numFmtId="206" formatCode="0"/>
    <x:numFmt numFmtId="207" formatCode="0.00000"/>
    <x:numFmt numFmtId="208" formatCode="0.00%"/>
    <x:numFmt numFmtId="209" formatCode="0.0&quot; years&quot;"/>
    <x:numFmt numFmtId="210" formatCode="#,##0"/>
    <x:numFmt numFmtId="211" formatCode="&quot;$&quot;0.0000"/>
    <x:numFmt numFmtId="212" formatCode="&quot;$&quot;0.00000"/>
    <x:numFmt numFmtId="213" formatCode="&quot;$&quot;0.000"/>
    <x:numFmt numFmtId="214" formatCode="&quot;$&quot;#,##0.00"/>
    <x:numFmt numFmtId="215" formatCode="#,##0.0"/>
    <x:numFmt numFmtId="216" formatCode="0%"/>
    <x:numFmt numFmtId="217" formatCode=";;;"/>
    <x:numFmt numFmtId="218" formatCode="$#,##0"/>
    <x:numFmt numFmtId="219" formatCode="&quot;MX$&quot;#,##0"/>
    <x:numFmt numFmtId="220" formatCode="#,##0.##"/>
    <x:numFmt numFmtId="221" formatCode="#,##0.00"/>
    <x:numFmt numFmtId="222" formatCode="&quot;$&quot;#,##0;-&quot;$&quot;#,##0"/>
    <x:numFmt numFmtId="223" formatCode="0.##"/>
    <x:numFmt numFmtId="224" formatCode="$#,##0.00"/>
  </x:numFmts>
  <x:fonts count="30">
    <x:font>
      <x:sz val="11"/>
      <x:name val="Carlito"/>
    </x:font>
    <x:font>
      <x:sz val="11"/>
      <x:name val="Arial"/>
    </x:font>
    <x:font>
      <x:sz val="10"/>
      <x:name val="Arial"/>
    </x:font>
    <x:font>
      <x:sz val="10"/>
      <x:color rgb="FF202D40"/>
      <x:name val="Arial"/>
    </x:font>
    <x:font>
      <x:sz val="15"/>
      <x:color rgb="FF202D40"/>
      <x:name val="Arial"/>
    </x:font>
    <x:font>
      <x:b/>
      <x:sz val="15"/>
      <x:color rgb="FF202D40"/>
      <x:name val="Arial"/>
    </x:font>
    <x:font>
      <x:i/>
      <x:sz val="10"/>
      <x:color rgb="FF202D40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5"/>
      <x:name val="Arial"/>
    </x:font>
    <x:font>
      <x:b/>
      <x:sz val="15"/>
      <x:name val="Arial"/>
    </x:font>
    <x:font>
      <x:b/>
      <x:sz val="11"/>
      <x:name val="Carlito"/>
    </x:font>
    <x:font>
      <x:sz val="10"/>
      <x:color rgb="FF243754"/>
      <x:name val="Arial"/>
    </x:font>
    <x:font>
      <x:sz val="16"/>
      <x:color rgb="FFFFFFFF"/>
      <x:name val="Arial"/>
    </x:font>
    <x:font>
      <x:b/>
      <x:sz val="16"/>
      <x:color rgb="FFFFFFFF"/>
      <x:name val="Arial"/>
    </x:font>
    <x:font>
      <x:b/>
      <x:sz val="10"/>
      <x:color rgb="FF243754"/>
      <x:name val="Arial"/>
    </x:font>
    <x:font>
      <x:sz val="16"/>
      <x:color rgb="FF202D40"/>
      <x:name val="Arial"/>
    </x:font>
    <x:font>
      <x:b/>
      <x:sz val="16"/>
      <x:color rgb="FF202D40"/>
      <x:name val="Arial"/>
    </x:font>
    <x:font>
      <x:sz val="10"/>
      <x:color rgb="FF1D4E89"/>
      <x:name val="Arial"/>
    </x:font>
    <x:font>
      <x:b/>
      <x:sz val="10"/>
      <x:color rgb="FF202D40"/>
      <x:name val="Arial"/>
    </x:font>
    <x:font>
      <x:sz val="11"/>
      <x:color rgb="FF12647C"/>
      <x:name val="Carlito"/>
    </x:font>
    <x:font>
      <x:sz val="11"/>
      <x:name val="Aptos"/>
    </x:font>
    <x:font>
      <x:sz val="11"/>
      <x:color rgb="FF20334F"/>
      <x:name val="Aptos"/>
    </x:font>
    <x:font>
      <x:sz val="11"/>
      <x:color rgb="FFFFFFFF"/>
      <x:name val="Aptos"/>
    </x:font>
    <x:font>
      <x:b/>
      <x:sz val="11"/>
      <x:color rgb="FFFFFFFF"/>
      <x:name val="Aptos"/>
    </x:font>
    <x:font>
      <x:b/>
      <x:sz val="19"/>
      <x:color rgb="FFFFFFFF"/>
      <x:name val="Aptos"/>
    </x:font>
    <x:font>
      <x:b/>
      <x:sz val="11"/>
      <x:color rgb="FF20334F"/>
      <x:name val="Aptos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0"/>
      <x:color rgb="FF156082"/>
      <x:name val="Arial"/>
    </x:font>
  </x:fonts>
  <x:fills count="55">
    <x:fill>
      <x:patternFill patternType="none"/>
    </x:fill>
    <x:fill>
      <x:patternFill patternType="gray125"/>
    </x:fill>
    <x:fill>
      <x:patternFill patternType="solid">
        <x:fgColor rgb="FF243754"/>
      </x:patternFill>
    </x:fill>
    <x:fill>
      <x:patternFill patternType="solid">
        <x:fgColor rgb="FFFFF0D1"/>
      </x:patternFill>
    </x:fill>
    <x:fill>
      <x:patternFill patternType="solid">
        <x:fgColor rgb="FFEEF4FA"/>
      </x:patternFill>
    </x:fill>
    <x:fill>
      <x:patternFill patternType="solid">
        <x:fgColor rgb="FF243754"/>
      </x:patternFill>
    </x:fill>
    <x:fill>
      <x:patternFill patternType="solid">
        <x:fgColor rgb="FFEEF4FA"/>
      </x:patternFill>
    </x:fill>
    <x:fill>
      <x:patternFill patternType="solid">
        <x:fgColor rgb="FFFFF0D1"/>
      </x:patternFill>
    </x:fill>
    <x:fill>
      <x:patternFill patternType="solid">
        <x:fgColor rgb="FFFFF0D1"/>
      </x:patternFill>
    </x:fill>
    <x:fill>
      <x:patternFill patternType="solid">
        <x:fgColor rgb="FFFFF0D1"/>
      </x:patternFill>
    </x:fill>
    <x:fill>
      <x:patternFill patternType="solid">
        <x:fgColor rgb="FFFFFFFF"/>
      </x:patternFill>
    </x:fill>
    <x:fill>
      <x:patternFill patternType="solid">
        <x:fgColor rgb="FF243754"/>
      </x:patternFill>
    </x:fill>
    <x:fill>
      <x:patternFill patternType="solid">
        <x:fgColor rgb="FFEEF4FA"/>
      </x:patternFill>
    </x:fill>
    <x:fill>
      <x:patternFill patternType="solid">
        <x:fgColor rgb="FFFFFFFF"/>
      </x:patternFill>
    </x:fill>
    <x:fill>
      <x:patternFill patternType="solid">
        <x:fgColor rgb="FFEEF4FA"/>
      </x:patternFill>
    </x:fill>
    <x:fill>
      <x:patternFill patternType="solid">
        <x:fgColor rgb="FF243754"/>
      </x:patternFill>
    </x:fill>
    <x:fill>
      <x:patternFill patternType="solid">
        <x:fgColor rgb="FFFFFFFF"/>
      </x:patternFill>
    </x:fill>
    <x:fill>
      <x:patternFill patternType="solid">
        <x:fgColor rgb="FFEEF4FA"/>
      </x:patternFill>
    </x:fill>
    <x:fill>
      <x:patternFill patternType="solid">
        <x:fgColor rgb="FFFFF0D1"/>
      </x:patternFill>
    </x:fill>
    <x:fill>
      <x:patternFill patternType="solid">
        <x:fgColor rgb="FFEEF4FA"/>
      </x:patternFill>
    </x:fill>
    <x:fill>
      <x:patternFill patternType="solid">
        <x:fgColor rgb="FFEEF4FA"/>
      </x:patternFill>
    </x:fill>
    <x:fill>
      <x:patternFill patternType="solid">
        <x:fgColor rgb="FFFFF0D1"/>
      </x:patternFill>
    </x:fill>
    <x:fill>
      <x:patternFill patternType="solid">
        <x:fgColor rgb="FFEEF4FA"/>
      </x:patternFill>
    </x:fill>
    <x:fill>
      <x:patternFill patternType="solid">
        <x:fgColor rgb="FF243754"/>
      </x:patternFill>
    </x:fill>
    <x:fill>
      <x:patternFill patternType="solid">
        <x:fgColor rgb="FFD8F0ED"/>
      </x:patternFill>
    </x:fill>
    <x:fill>
      <x:patternFill patternType="solid">
        <x:fgColor rgb="FFFFFFFF"/>
      </x:patternFill>
    </x:fill>
    <x:fill>
      <x:patternFill patternType="solid">
        <x:fgColor rgb="FFF1F5F9"/>
      </x:patternFill>
    </x:fill>
    <x:fill>
      <x:patternFill patternType="solid">
        <x:fgColor rgb="FFFFF0D1"/>
      </x:patternFill>
    </x:fill>
    <x:fill>
      <x:patternFill patternType="solid">
        <x:fgColor rgb="FFEEF4FA"/>
      </x:patternFill>
    </x:fill>
    <x:fill>
      <x:patternFill patternType="solid">
        <x:fgColor rgb="FF243754"/>
      </x:patternFill>
    </x:fill>
    <x:fill>
      <x:patternFill patternType="solid">
        <x:fgColor rgb="FFFFFFFF"/>
      </x:patternFill>
    </x:fill>
    <x:fill>
      <x:patternFill patternType="solid">
        <x:fgColor rgb="FFD8F0ED"/>
      </x:patternFill>
    </x:fill>
    <x:fill>
      <x:patternFill patternType="solid">
        <x:fgColor rgb="FFF1F5F9"/>
      </x:patternFill>
    </x:fill>
    <x:fill>
      <x:patternFill patternType="solid">
        <x:fgColor rgb="FFD8F0ED"/>
      </x:patternFill>
    </x:fill>
    <x:fill>
      <x:patternFill patternType="solid">
        <x:fgColor rgb="FFEEF4FA"/>
      </x:patternFill>
    </x:fill>
    <x:fill>
      <x:patternFill patternType="solid">
        <x:fgColor rgb="FF243754"/>
      </x:patternFill>
    </x:fill>
    <x:fill>
      <x:patternFill patternType="solid">
        <x:fgColor rgb="FFFFF0D1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20334F"/>
      </x:patternFill>
    </x:fill>
    <x:fill>
      <x:patternFill patternType="solid">
        <x:fgColor rgb="FFEDF3F9"/>
      </x:patternFill>
    </x:fill>
    <x:fill>
      <x:patternFill patternType="solid">
        <x:fgColor rgb="FFD7EDEA"/>
      </x:patternFill>
    </x:fill>
    <x:fill>
      <x:patternFill patternType="solid">
        <x:fgColor rgb="FF20334F"/>
      </x:patternFill>
    </x:fill>
    <x:fill>
      <x:patternFill patternType="solid">
        <x:fgColor rgb="FFD7EDEA"/>
      </x:patternFill>
    </x:fill>
    <x:fill>
      <x:patternFill patternType="solid">
        <x:fgColor rgb="FFEDF3F9"/>
      </x:patternFill>
    </x:fill>
    <x:fill>
      <x:patternFill patternType="solid">
        <x:fgColor rgb="FF20334F"/>
      </x:patternFill>
    </x:fill>
    <x:fill>
      <x:patternFill patternType="solid">
        <x:fgColor rgb="FFEDF3F9"/>
      </x:patternFill>
    </x:fill>
    <x:fill>
      <x:patternFill patternType="solid">
        <x:fgColor rgb="FFD7EDEA"/>
      </x:patternFill>
    </x:fill>
    <x:fill>
      <x:patternFill patternType="solid">
        <x:fgColor rgb="FF20334F"/>
      </x:patternFill>
    </x:fill>
    <x:fill>
      <x:patternFill patternType="solid">
        <x:fgColor rgb="FF20334F"/>
      </x:patternFill>
    </x:fill>
    <x:fill>
      <x:patternFill patternType="solid">
        <x:fgColor rgb="FFFFFFFF"/>
      </x:patternFill>
    </x:fill>
    <x:fill>
      <x:patternFill patternType="solid">
        <x:fgColor rgb="FFEDF3F9"/>
      </x:patternFill>
    </x:fill>
    <x:fill>
      <x:patternFill patternType="solid">
        <x:fgColor rgb="FFFFFFFF"/>
      </x:patternFill>
    </x:fill>
    <x:fill>
      <x:patternFill patternType="solid">
        <x:fgColor rgb="FFEFF4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center" vertical="center" wrapText="1"/>
    </x:xf>
    <x:xf numFmtId="0" fontId="3" fillId="6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2" fontId="3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 wrapText="1"/>
    </x:xf>
    <x:xf numFmtId="0" fontId="3" fillId="8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vertical="center" wrapText="1"/>
    </x:xf>
    <x:xf numFmtId="0" fontId="3" fillId="9" borderId="0" xfId="0" applyNumberFormat="1" applyFont="1" applyFill="1" applyBorder="1" applyAlignment="1">
      <x:alignment vertical="center"/>
    </x:xf>
    <x:xf numFmtId="0" fontId="3" fillId="9" borderId="0" xfId="0" applyNumberFormat="1" applyFont="1" applyFill="1" applyBorder="1" applyAlignment="1">
      <x:alignment vertical="center" wrapText="1"/>
    </x:xf>
    <x:xf numFmtId="0" fontId="3" fillId="1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2" fillId="11" borderId="0" xfId="0" applyNumberFormat="1" applyFont="1" applyFill="1" applyBorder="1" applyAlignment="1">
      <x:alignment vertical="center"/>
    </x:xf>
    <x:xf numFmtId="0" fontId="7" fillId="11" borderId="0" xfId="0" applyNumberFormat="1" applyFont="1" applyFill="1" applyBorder="1" applyAlignment="1">
      <x:alignment vertical="center"/>
    </x:xf>
    <x:xf numFmtId="0" fontId="8" fillId="11" borderId="0" xfId="0" applyNumberFormat="1" applyFont="1" applyFill="1" applyBorder="1" applyAlignment="1">
      <x:alignment vertical="center"/>
    </x:xf>
    <x:xf numFmtId="0" fontId="8" fillId="11" borderId="0" xfId="0" applyNumberFormat="1" applyFont="1" applyFill="1" applyBorder="1" applyAlignment="1">
      <x:alignment vertical="center" wrapText="1"/>
    </x:xf>
    <x:xf numFmtId="0" fontId="8" fillId="11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 wrapText="1"/>
    </x:xf>
    <x:xf numFmtId="200" fontId="2" fillId="12" borderId="0" xfId="0" applyNumberFormat="1" applyFont="1" applyFill="1" applyBorder="1" applyAlignment="1">
      <x:alignment vertical="center" wrapText="1"/>
    </x:xf>
    <x:xf numFmtId="200" fontId="2" fillId="13" borderId="0" xfId="0" applyNumberFormat="1" applyFont="1" applyFill="1" applyBorder="1" applyAlignment="1">
      <x:alignment vertical="center" wrapText="1"/>
    </x:xf>
    <x:xf numFmtId="200" fontId="2" fillId="14" borderId="0" xfId="0" applyNumberFormat="1" applyFont="1" applyFill="1" applyBorder="1" applyAlignment="1">
      <x:alignment vertical="center" wrapText="1"/>
    </x:xf>
    <x:xf numFmtId="0" fontId="2" fillId="15" borderId="0" xfId="0" applyNumberFormat="1" applyFont="1" applyFill="1" applyBorder="1" applyAlignment="1">
      <x:alignment vertical="center"/>
    </x:xf>
    <x:xf numFmtId="0" fontId="7" fillId="15" borderId="0" xfId="0" applyNumberFormat="1" applyFont="1" applyFill="1" applyBorder="1" applyAlignment="1">
      <x:alignment vertical="center"/>
    </x:xf>
    <x:xf numFmtId="0" fontId="8" fillId="15" borderId="0" xfId="0" applyNumberFormat="1" applyFont="1" applyFill="1" applyBorder="1" applyAlignment="1">
      <x:alignment vertical="center"/>
    </x:xf>
    <x:xf numFmtId="204" fontId="2" fillId="0" borderId="0" xfId="0" applyNumberFormat="1" applyFont="1" applyFill="1" applyBorder="1" applyAlignment="1">
      <x:alignment vertical="center" wrapText="1"/>
    </x:xf>
    <x:xf numFmtId="205" fontId="2" fillId="0" borderId="0" xfId="0" applyNumberFormat="1" applyFont="1" applyFill="1" applyBorder="1" applyAlignment="1">
      <x:alignment vertical="center" wrapText="1"/>
    </x:xf>
    <x:xf numFmtId="200" fontId="2" fillId="16" borderId="0" xfId="0" applyNumberFormat="1" applyFont="1" applyFill="1" applyBorder="1" applyAlignment="1">
      <x:alignment vertical="center" wrapText="1"/>
    </x:xf>
    <x:xf numFmtId="200" fontId="2" fillId="17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3" fillId="18" borderId="0" xfId="0" applyNumberFormat="1" applyFont="1" applyFill="1" applyBorder="1" applyAlignment="1">
      <x:alignment vertical="center" wrapText="1"/>
    </x:xf>
    <x:xf numFmtId="200" fontId="2" fillId="19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20" borderId="0" xfId="0" applyNumberFormat="1" applyFont="1" applyFill="1" applyBorder="1" applyAlignment="1">
      <x:alignment wrapText="1"/>
    </x:xf>
    <x:xf numFmtId="0" fontId="3" fillId="21" borderId="0" xfId="0" applyNumberFormat="1" applyFont="1" applyFill="1" applyBorder="1" applyAlignment="1">
      <x:alignment vertical="center" wrapText="1"/>
    </x:xf>
    <x:xf numFmtId="202" fontId="3" fillId="21" borderId="0" xfId="0" applyNumberFormat="1" applyFont="1" applyFill="1" applyBorder="1" applyAlignment="1">
      <x:alignment vertical="center"/>
    </x:xf>
    <x:xf numFmtId="0" fontId="0" fillId="21" borderId="0" xfId="0" applyNumberFormat="1" applyFont="1" applyFill="1" applyBorder="1" applyAlignment="1">
      <x:alignment wrapText="1"/>
    </x:xf>
    <x:xf numFmtId="0" fontId="0" fillId="21" borderId="0" xfId="0" applyNumberFormat="1" applyFont="1" applyFill="1" applyBorder="1"/>
    <x:xf numFmtId="201" fontId="0" fillId="0" borderId="0" xfId="0" applyNumberFormat="1" applyFont="1" applyFill="1" applyBorder="1"/>
    <x:xf numFmtId="201" fontId="0" fillId="22" borderId="0" xfId="0" applyNumberFormat="1" applyFont="1" applyFill="1" applyBorder="1"/>
    <x:xf numFmtId="202" fontId="0" fillId="21" borderId="0" xfId="0" applyNumberFormat="1" applyFont="1" applyFill="1" applyBorder="1"/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vertical="center"/>
    </x:xf>
    <x:xf numFmtId="0" fontId="12" fillId="23" borderId="0" xfId="0" applyNumberFormat="1" applyFont="1" applyFill="1" applyBorder="1" applyAlignment="1">
      <x:alignment vertical="center"/>
    </x:xf>
    <x:xf numFmtId="0" fontId="7" fillId="23" borderId="0" xfId="0" applyNumberFormat="1" applyFont="1" applyFill="1" applyBorder="1" applyAlignment="1">
      <x:alignment vertical="center"/>
    </x:xf>
    <x:xf numFmtId="0" fontId="13" fillId="23" borderId="0" xfId="0" applyNumberFormat="1" applyFont="1" applyFill="1" applyBorder="1" applyAlignment="1">
      <x:alignment vertical="center"/>
    </x:xf>
    <x:xf numFmtId="0" fontId="14" fillId="23" borderId="0" xfId="0" applyNumberFormat="1" applyFont="1" applyFill="1" applyBorder="1" applyAlignment="1">
      <x:alignment vertical="center"/>
    </x:xf>
    <x:xf numFmtId="0" fontId="12" fillId="24" borderId="0" xfId="0" applyNumberFormat="1" applyFont="1" applyFill="1" applyBorder="1" applyAlignment="1">
      <x:alignment vertical="center"/>
    </x:xf>
    <x:xf numFmtId="0" fontId="15" fillId="24" borderId="0" xfId="0" applyNumberFormat="1" applyFont="1" applyFill="1" applyBorder="1" applyAlignment="1">
      <x:alignment vertical="center"/>
    </x:xf>
    <x:xf numFmtId="0" fontId="8" fillId="23" borderId="0" xfId="0" applyNumberFormat="1" applyFont="1" applyFill="1" applyBorder="1" applyAlignment="1">
      <x:alignment vertical="center"/>
    </x:xf>
    <x:xf numFmtId="0" fontId="8" fillId="23" borderId="0" xfId="0" applyNumberFormat="1" applyFont="1" applyFill="1" applyBorder="1" applyAlignment="1">
      <x:alignment vertical="center" wrapText="1"/>
    </x:xf>
    <x:xf numFmtId="0" fontId="12" fillId="25" borderId="0" xfId="0" applyNumberFormat="1" applyFont="1" applyFill="1" applyBorder="1" applyAlignment="1">
      <x:alignment vertical="center"/>
    </x:xf>
    <x:xf numFmtId="206" fontId="12" fillId="25" borderId="0" xfId="0" applyNumberFormat="1" applyFont="1" applyFill="1" applyBorder="1" applyAlignment="1">
      <x:alignment vertical="center"/>
    </x:xf>
    <x:xf numFmtId="0" fontId="12" fillId="26" borderId="0" xfId="0" applyNumberFormat="1" applyFont="1" applyFill="1" applyBorder="1" applyAlignment="1">
      <x:alignment vertical="center"/>
    </x:xf>
    <x:xf numFmtId="0" fontId="12" fillId="21" borderId="0" xfId="0" applyNumberFormat="1" applyFont="1" applyFill="1" applyBorder="1" applyAlignment="1">
      <x:alignment vertical="center"/>
    </x:xf>
    <x:xf numFmtId="202" fontId="12" fillId="26" borderId="0" xfId="0" applyNumberFormat="1" applyFont="1" applyFill="1" applyBorder="1" applyAlignment="1">
      <x:alignment vertical="center"/>
    </x:xf>
    <x:xf numFmtId="202" fontId="12" fillId="25" borderId="0" xfId="0" applyNumberFormat="1" applyFont="1" applyFill="1" applyBorder="1" applyAlignment="1">
      <x:alignment vertical="center"/>
    </x:xf>
    <x:xf numFmtId="206" fontId="12" fillId="26" borderId="0" xfId="0" applyNumberFormat="1" applyFont="1" applyFill="1" applyBorder="1" applyAlignment="1">
      <x:alignment vertical="center"/>
    </x:xf>
    <x:xf numFmtId="206" fontId="12" fillId="21" borderId="0" xfId="0" applyNumberFormat="1" applyFont="1" applyFill="1" applyBorder="1" applyAlignment="1">
      <x:alignment vertical="center"/>
    </x:xf>
    <x:xf numFmtId="201" fontId="12" fillId="26" borderId="0" xfId="0" applyNumberFormat="1" applyFont="1" applyFill="1" applyBorder="1" applyAlignment="1">
      <x:alignment vertical="center"/>
    </x:xf>
    <x:xf numFmtId="0" fontId="12" fillId="25" borderId="0" xfId="0" applyNumberFormat="1" applyFont="1" applyFill="1" applyBorder="1" applyAlignment="1">
      <x:alignment vertical="center" wrapText="1"/>
    </x:xf>
    <x:xf numFmtId="206" fontId="12" fillId="25" borderId="0" xfId="0" applyNumberFormat="1" applyFont="1" applyFill="1" applyBorder="1" applyAlignment="1">
      <x:alignment vertical="center" wrapText="1"/>
    </x:xf>
    <x:xf numFmtId="0" fontId="12" fillId="26" borderId="0" xfId="0" applyNumberFormat="1" applyFont="1" applyFill="1" applyBorder="1" applyAlignment="1">
      <x:alignment vertical="center" wrapText="1"/>
    </x:xf>
    <x:xf numFmtId="202" fontId="12" fillId="26" borderId="0" xfId="0" applyNumberFormat="1" applyFont="1" applyFill="1" applyBorder="1" applyAlignment="1">
      <x:alignment vertical="center" wrapText="1"/>
    </x:xf>
    <x:xf numFmtId="0" fontId="12" fillId="21" borderId="0" xfId="0" applyNumberFormat="1" applyFont="1" applyFill="1" applyBorder="1" applyAlignment="1">
      <x:alignment vertical="center" wrapText="1"/>
    </x:xf>
    <x:xf numFmtId="202" fontId="12" fillId="25" borderId="0" xfId="0" applyNumberFormat="1" applyFont="1" applyFill="1" applyBorder="1" applyAlignment="1">
      <x:alignment vertical="center" wrapText="1"/>
    </x:xf>
    <x:xf numFmtId="206" fontId="12" fillId="26" borderId="0" xfId="0" applyNumberFormat="1" applyFont="1" applyFill="1" applyBorder="1" applyAlignment="1">
      <x:alignment vertical="center" wrapText="1"/>
    </x:xf>
    <x:xf numFmtId="206" fontId="12" fillId="21" borderId="0" xfId="0" applyNumberFormat="1" applyFont="1" applyFill="1" applyBorder="1" applyAlignment="1">
      <x:alignment vertical="center" wrapText="1"/>
    </x:xf>
    <x:xf numFmtId="201" fontId="12" fillId="26" borderId="0" xfId="0" applyNumberFormat="1" applyFont="1" applyFill="1" applyBorder="1" applyAlignment="1">
      <x:alignment vertical="center" wrapText="1"/>
    </x:xf>
    <x:xf numFmtId="200" fontId="12" fillId="25" borderId="0" xfId="0" applyNumberFormat="1" applyFont="1" applyFill="1" applyBorder="1" applyAlignment="1">
      <x:alignment vertical="center" wrapText="1"/>
    </x:xf>
    <x:xf numFmtId="200" fontId="12" fillId="26" borderId="0" xfId="0" applyNumberFormat="1" applyFont="1" applyFill="1" applyBorder="1" applyAlignment="1">
      <x:alignment vertical="center" wrapText="1"/>
    </x:xf>
    <x:xf numFmtId="201" fontId="12" fillId="25" borderId="0" xfId="0" applyNumberFormat="1" applyFont="1" applyFill="1" applyBorder="1" applyAlignment="1">
      <x:alignment vertical="center" wrapText="1"/>
    </x:xf>
    <x:xf numFmtId="202" fontId="12" fillId="21" borderId="0" xfId="0" applyNumberFormat="1" applyFont="1" applyFill="1" applyBorder="1" applyAlignment="1">
      <x:alignment vertical="center" wrapText="1"/>
    </x:xf>
    <x:xf numFmtId="200" fontId="2" fillId="4" borderId="0" xfId="0" applyNumberFormat="1" applyFont="1" applyFill="1" applyBorder="1" applyAlignment="1">
      <x:alignment vertical="center" wrapText="1"/>
    </x:xf>
    <x:xf numFmtId="200" fontId="0" fillId="4" borderId="0" xfId="0" applyNumberFormat="1" applyFont="1" applyFill="1" applyBorder="1" applyAlignment="1">
      <x:alignment wrapText="1"/>
    </x:xf>
    <x:xf numFmtId="200" fontId="2" fillId="22" borderId="0" xfId="0" applyNumberFormat="1" applyFont="1" applyFill="1" applyBorder="1" applyAlignment="1">
      <x:alignment vertical="center" wrapText="1"/>
    </x:xf>
    <x:xf numFmtId="200" fontId="0" fillId="22" borderId="0" xfId="0" applyNumberFormat="1" applyFont="1" applyFill="1" applyBorder="1" applyAlignment="1">
      <x:alignment wrapText="1"/>
    </x:xf>
    <x:xf numFmtId="0" fontId="0" fillId="22" borderId="0" xfId="0" applyNumberFormat="1" applyFont="1" applyFill="1" applyBorder="1" applyAlignment="1">
      <x:alignment wrapText="1"/>
    </x:xf>
    <x:xf numFmtId="203" fontId="2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 applyAlignment="1">
      <x:alignment vertical="center"/>
    </x:xf>
    <x:xf numFmtId="0" fontId="3" fillId="27" borderId="0" xfId="0" applyNumberFormat="1" applyFont="1" applyFill="1" applyBorder="1" applyAlignment="1">
      <x:alignment vertical="center"/>
    </x:xf>
    <x:xf numFmtId="0" fontId="18" fillId="27" borderId="0" xfId="0" applyNumberFormat="1" applyFont="1" applyFill="1" applyBorder="1" applyAlignment="1">
      <x:alignment vertical="center"/>
    </x:xf>
    <x:xf numFmtId="0" fontId="3" fillId="27" borderId="0" xfId="0" applyNumberFormat="1" applyFont="1" applyFill="1" applyBorder="1" applyAlignment="1">
      <x:alignment horizontal="center" vertical="center"/>
    </x:xf>
    <x:xf numFmtId="0" fontId="18" fillId="27" borderId="0" xfId="0" applyNumberFormat="1" applyFont="1" applyFill="1" applyBorder="1" applyAlignment="1">
      <x:alignment horizontal="center" vertical="center"/>
    </x:xf>
    <x:xf numFmtId="200" fontId="18" fillId="27" borderId="0" xfId="0" applyNumberFormat="1" applyFont="1" applyFill="1" applyBorder="1" applyAlignment="1">
      <x:alignment horizontal="center" vertical="center"/>
    </x:xf>
    <x:xf numFmtId="0" fontId="3" fillId="28" borderId="0" xfId="0" applyNumberFormat="1" applyFont="1" applyFill="1" applyBorder="1" applyAlignment="1">
      <x:alignment horizontal="center" vertical="center"/>
    </x:xf>
    <x:xf numFmtId="0" fontId="3" fillId="29" borderId="0" xfId="0" applyNumberFormat="1" applyFont="1" applyFill="1" applyBorder="1" applyAlignment="1">
      <x:alignment vertical="center"/>
    </x:xf>
    <x:xf numFmtId="0" fontId="7" fillId="29" borderId="0" xfId="0" applyNumberFormat="1" applyFont="1" applyFill="1" applyBorder="1" applyAlignment="1">
      <x:alignment vertical="center"/>
    </x:xf>
    <x:xf numFmtId="0" fontId="8" fillId="29" borderId="0" xfId="0" applyNumberFormat="1" applyFont="1" applyFill="1" applyBorder="1" applyAlignment="1">
      <x:alignment vertical="center"/>
    </x:xf>
    <x:xf numFmtId="0" fontId="8" fillId="29" borderId="0" xfId="0" applyNumberFormat="1" applyFont="1" applyFill="1" applyBorder="1" applyAlignment="1">
      <x:alignment vertical="center" wrapText="1"/>
    </x:xf>
    <x:xf numFmtId="0" fontId="8" fillId="29" borderId="0" xfId="0" applyNumberFormat="1" applyFont="1" applyFill="1" applyBorder="1" applyAlignment="1">
      <x:alignment horizontal="center" vertical="center" wrapText="1"/>
    </x:xf>
    <x:xf numFmtId="0" fontId="3" fillId="30" borderId="0" xfId="0" applyNumberFormat="1" applyFont="1" applyFill="1" applyBorder="1" applyAlignment="1">
      <x:alignment vertical="center"/>
    </x:xf>
    <x:xf numFmtId="0" fontId="3" fillId="31" borderId="0" xfId="0" applyNumberFormat="1" applyFont="1" applyFill="1" applyBorder="1" applyAlignment="1">
      <x:alignment vertical="center"/>
    </x:xf>
    <x:xf numFmtId="0" fontId="3" fillId="28" borderId="0" xfId="0" applyNumberFormat="1" applyFont="1" applyFill="1" applyBorder="1" applyAlignment="1">
      <x:alignment vertical="center"/>
    </x:xf>
    <x:xf numFmtId="0" fontId="3" fillId="32" borderId="0" xfId="0" applyNumberFormat="1" applyFont="1" applyFill="1" applyBorder="1" applyAlignment="1">
      <x:alignment vertical="center"/>
    </x:xf>
    <x:xf numFmtId="0" fontId="3" fillId="30" borderId="0" xfId="0" applyNumberFormat="1" applyFont="1" applyFill="1" applyBorder="1" applyAlignment="1">
      <x:alignment vertical="center" wrapText="1"/>
    </x:xf>
    <x:xf numFmtId="0" fontId="3" fillId="32" borderId="0" xfId="0" applyNumberFormat="1" applyFont="1" applyFill="1" applyBorder="1" applyAlignment="1">
      <x:alignment vertical="center" wrapText="1"/>
    </x:xf>
    <x:xf numFmtId="200" fontId="3" fillId="30" borderId="0" xfId="0" applyNumberFormat="1" applyFont="1" applyFill="1" applyBorder="1" applyAlignment="1">
      <x:alignment vertical="center"/>
    </x:xf>
    <x:xf numFmtId="200" fontId="3" fillId="27" borderId="0" xfId="0" applyNumberFormat="1" applyFont="1" applyFill="1" applyBorder="1" applyAlignment="1">
      <x:alignment vertical="center"/>
    </x:xf>
    <x:xf numFmtId="200" fontId="3" fillId="31" borderId="0" xfId="0" applyNumberFormat="1" applyFont="1" applyFill="1" applyBorder="1" applyAlignment="1">
      <x:alignment vertical="center"/>
    </x:xf>
    <x:xf numFmtId="200" fontId="3" fillId="28" borderId="0" xfId="0" applyNumberFormat="1" applyFont="1" applyFill="1" applyBorder="1" applyAlignment="1">
      <x:alignment vertical="center"/>
    </x:xf>
    <x:xf numFmtId="200" fontId="3" fillId="32" borderId="0" xfId="0" applyNumberFormat="1" applyFont="1" applyFill="1" applyBorder="1" applyAlignment="1">
      <x:alignment vertical="center"/>
    </x:xf>
    <x:xf numFmtId="200" fontId="19" fillId="31" borderId="0" xfId="0" applyNumberFormat="1" applyFont="1" applyFill="1" applyBorder="1" applyAlignment="1">
      <x:alignment vertical="center"/>
    </x:xf>
    <x:xf numFmtId="0" fontId="19" fillId="0" borderId="0" xfId="0" applyNumberFormat="1" applyFont="1" applyFill="1" applyBorder="1" applyAlignment="1">
      <x:alignment vertical="center"/>
    </x:xf>
    <x:xf numFmtId="207" fontId="2" fillId="0" borderId="0" xfId="0" applyNumberFormat="1" applyFont="1" applyFill="1" applyBorder="1" applyAlignment="1">
      <x:alignment vertical="center" wrapText="1"/>
    </x:xf>
    <x:xf numFmtId="208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8" fillId="0" borderId="0" xfId="0" applyNumberFormat="1" applyFont="1" applyFill="1" applyBorder="1" applyAlignment="1">
      <x:alignment vertical="center"/>
    </x:xf>
    <x:xf numFmtId="209" fontId="3" fillId="0" borderId="0" xfId="0" applyNumberFormat="1" applyFont="1" applyFill="1" applyBorder="1" applyAlignment="1">
      <x:alignment vertical="center"/>
    </x:xf>
    <x:xf numFmtId="0" fontId="3" fillId="33" borderId="0" xfId="0" applyNumberFormat="1" applyFont="1" applyFill="1" applyBorder="1" applyAlignment="1">
      <x:alignment vertical="center"/>
    </x:xf>
    <x:xf numFmtId="209" fontId="3" fillId="33" borderId="0" xfId="0" applyNumberFormat="1" applyFont="1" applyFill="1" applyBorder="1" applyAlignment="1">
      <x:alignment vertical="center"/>
    </x:xf>
    <x:xf numFmtId="0" fontId="19" fillId="33" borderId="0" xfId="0" applyNumberFormat="1" applyFont="1" applyFill="1" applyBorder="1" applyAlignment="1">
      <x:alignment vertical="center"/>
    </x:xf>
    <x:xf numFmtId="209" fontId="19" fillId="33" borderId="0" xfId="0" applyNumberFormat="1" applyFont="1" applyFill="1" applyBorder="1" applyAlignment="1">
      <x:alignment vertical="center"/>
    </x:xf>
    <x:xf numFmtId="209" fontId="5" fillId="33" borderId="0" xfId="0" applyNumberFormat="1" applyFont="1" applyFill="1" applyBorder="1" applyAlignment="1">
      <x:alignment vertical="center"/>
    </x:xf>
    <x:xf numFmtId="0" fontId="3" fillId="34" borderId="0" xfId="0" applyNumberFormat="1" applyFont="1" applyFill="1" applyBorder="1" applyAlignment="1">
      <x:alignment vertical="center"/>
    </x:xf>
    <x:xf numFmtId="200" fontId="3" fillId="34" borderId="0" xfId="0" applyNumberFormat="1" applyFont="1" applyFill="1" applyBorder="1" applyAlignment="1">
      <x:alignment vertical="center"/>
    </x:xf>
    <x:xf numFmtId="209" fontId="3" fillId="34" borderId="0" xfId="0" applyNumberFormat="1" applyFont="1" applyFill="1" applyBorder="1" applyAlignment="1">
      <x:alignment vertical="center"/>
    </x:xf>
    <x:xf numFmtId="200" fontId="19" fillId="34" borderId="0" xfId="0" applyNumberFormat="1" applyFont="1" applyFill="1" applyBorder="1" applyAlignment="1">
      <x:alignment vertical="center"/>
    </x:xf>
    <x:xf numFmtId="209" fontId="19" fillId="34" borderId="0" xfId="0" applyNumberFormat="1" applyFont="1" applyFill="1" applyBorder="1" applyAlignment="1">
      <x:alignment vertical="center"/>
    </x:xf>
    <x:xf numFmtId="0" fontId="3" fillId="35" borderId="0" xfId="0" applyNumberFormat="1" applyFont="1" applyFill="1" applyBorder="1" applyAlignment="1">
      <x:alignment vertical="center"/>
    </x:xf>
    <x:xf numFmtId="0" fontId="7" fillId="35" borderId="0" xfId="0" applyNumberFormat="1" applyFont="1" applyFill="1" applyBorder="1" applyAlignment="1">
      <x:alignment vertical="center"/>
    </x:xf>
    <x:xf numFmtId="0" fontId="8" fillId="35" borderId="0" xfId="0" applyNumberFormat="1" applyFont="1" applyFill="1" applyBorder="1" applyAlignment="1">
      <x:alignment vertical="center"/>
    </x:xf>
    <x:xf numFmtId="210" fontId="3" fillId="0" borderId="0" xfId="0" applyNumberFormat="1" applyFont="1" applyFill="1" applyBorder="1" applyAlignment="1">
      <x:alignment vertical="center"/>
    </x:xf>
    <x:xf numFmtId="210" fontId="3" fillId="36" borderId="0" xfId="0" applyNumberFormat="1" applyFont="1" applyFill="1" applyBorder="1" applyAlignment="1">
      <x:alignment vertical="center"/>
    </x:xf>
    <x:xf numFmtId="210" fontId="18" fillId="36" borderId="0" xfId="0" applyNumberFormat="1" applyFont="1" applyFill="1" applyBorder="1" applyAlignment="1">
      <x:alignment vertical="center"/>
    </x:xf>
    <x:xf numFmtId="211" fontId="3" fillId="0" borderId="0" xfId="0" applyNumberFormat="1" applyFont="1" applyFill="1" applyBorder="1" applyAlignment="1">
      <x:alignment vertical="center"/>
    </x:xf>
    <x:xf numFmtId="211" fontId="3" fillId="36" borderId="0" xfId="0" applyNumberFormat="1" applyFont="1" applyFill="1" applyBorder="1" applyAlignment="1">
      <x:alignment vertical="center"/>
    </x:xf>
    <x:xf numFmtId="211" fontId="18" fillId="36" borderId="0" xfId="0" applyNumberFormat="1" applyFont="1" applyFill="1" applyBorder="1" applyAlignment="1">
      <x:alignment vertical="center"/>
    </x:xf>
    <x:xf numFmtId="202" fontId="3" fillId="36" borderId="0" xfId="0" applyNumberFormat="1" applyFont="1" applyFill="1" applyBorder="1" applyAlignment="1">
      <x:alignment vertical="center"/>
    </x:xf>
    <x:xf numFmtId="202" fontId="18" fillId="36" borderId="0" xfId="0" applyNumberFormat="1" applyFont="1" applyFill="1" applyBorder="1" applyAlignment="1">
      <x:alignment vertical="center"/>
    </x:xf>
    <x:xf numFmtId="212" fontId="3" fillId="0" borderId="0" xfId="0" applyNumberFormat="1" applyFont="1" applyFill="1" applyBorder="1" applyAlignment="1">
      <x:alignment vertical="center"/>
    </x:xf>
    <x:xf numFmtId="212" fontId="3" fillId="36" borderId="0" xfId="0" applyNumberFormat="1" applyFont="1" applyFill="1" applyBorder="1" applyAlignment="1">
      <x:alignment vertical="center"/>
    </x:xf>
    <x:xf numFmtId="212" fontId="18" fillId="36" borderId="0" xfId="0" applyNumberFormat="1" applyFont="1" applyFill="1" applyBorder="1" applyAlignment="1">
      <x:alignment vertical="center"/>
    </x:xf>
    <x:xf numFmtId="213" fontId="3" fillId="0" borderId="0" xfId="0" applyNumberFormat="1" applyFont="1" applyFill="1" applyBorder="1" applyAlignment="1">
      <x:alignment vertical="center"/>
    </x:xf>
    <x:xf numFmtId="213" fontId="3" fillId="36" borderId="0" xfId="0" applyNumberFormat="1" applyFont="1" applyFill="1" applyBorder="1" applyAlignment="1">
      <x:alignment vertical="center"/>
    </x:xf>
    <x:xf numFmtId="213" fontId="18" fillId="36" borderId="0" xfId="0" applyNumberFormat="1" applyFont="1" applyFill="1" applyBorder="1" applyAlignment="1">
      <x:alignment vertical="center"/>
    </x:xf>
    <x:xf numFmtId="200" fontId="3" fillId="36" borderId="0" xfId="0" applyNumberFormat="1" applyFont="1" applyFill="1" applyBorder="1" applyAlignment="1">
      <x:alignment vertical="center"/>
    </x:xf>
    <x:xf numFmtId="200" fontId="18" fillId="36" borderId="0" xfId="0" applyNumberFormat="1" applyFont="1" applyFill="1" applyBorder="1" applyAlignment="1">
      <x:alignment vertical="center"/>
    </x:xf>
    <x:xf numFmtId="214" fontId="3" fillId="0" borderId="0" xfId="0" applyNumberFormat="1" applyFont="1" applyFill="1" applyBorder="1" applyAlignment="1">
      <x:alignment vertical="center"/>
    </x:xf>
    <x:xf numFmtId="214" fontId="3" fillId="36" borderId="0" xfId="0" applyNumberFormat="1" applyFont="1" applyFill="1" applyBorder="1" applyAlignment="1">
      <x:alignment vertical="center"/>
    </x:xf>
    <x:xf numFmtId="214" fontId="18" fillId="36" borderId="0" xfId="0" applyNumberFormat="1" applyFont="1" applyFill="1" applyBorder="1" applyAlignment="1">
      <x:alignment vertical="center"/>
    </x:xf>
    <x:xf numFmtId="0" fontId="3" fillId="36" borderId="0" xfId="0" applyNumberFormat="1" applyFont="1" applyFill="1" applyBorder="1" applyAlignment="1">
      <x:alignment vertical="center"/>
    </x:xf>
    <x:xf numFmtId="0" fontId="18" fillId="36" borderId="0" xfId="0" applyNumberFormat="1" applyFont="1" applyFill="1" applyBorder="1" applyAlignment="1">
      <x:alignment vertical="center"/>
    </x:xf>
    <x:xf numFmtId="214" fontId="3" fillId="33" borderId="0" xfId="0" applyNumberFormat="1" applyFont="1" applyFill="1" applyBorder="1" applyAlignment="1">
      <x:alignment vertical="center"/>
    </x:xf>
    <x:xf numFmtId="214" fontId="19" fillId="33" borderId="0" xfId="0" applyNumberFormat="1" applyFont="1" applyFill="1" applyBorder="1" applyAlignment="1">
      <x:alignment vertical="center"/>
    </x:xf>
    <x:xf numFmtId="215" fontId="3" fillId="0" borderId="0" xfId="0" applyNumberFormat="1" applyFont="1" applyFill="1" applyBorder="1" applyAlignment="1">
      <x:alignment vertical="center"/>
    </x:xf>
    <x:xf numFmtId="0" fontId="19" fillId="34" borderId="0" xfId="0" applyNumberFormat="1" applyFont="1" applyFill="1" applyBorder="1" applyAlignment="1">
      <x:alignment vertical="center"/>
    </x:xf>
    <x:xf numFmtId="0" fontId="3" fillId="33" borderId="0" xfId="0" applyNumberFormat="1" applyFont="1" applyFill="1" applyBorder="1" applyAlignment="1">
      <x:alignment vertical="center" wrapText="1"/>
    </x:xf>
    <x:xf numFmtId="0" fontId="3" fillId="34" borderId="0" xfId="0" applyNumberFormat="1" applyFont="1" applyFill="1" applyBorder="1" applyAlignment="1">
      <x:alignment vertical="center" wrapText="1"/>
    </x:xf>
    <x:xf numFmtId="0" fontId="8" fillId="35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vertical="center" wrapText="1"/>
    </x:xf>
    <x:xf numFmtId="210" fontId="0" fillId="0" borderId="0" xfId="0" applyNumberFormat="1" applyFont="1" applyFill="1" applyBorder="1" applyAlignment="1">
      <x:alignment vertical="center" wrapText="1"/>
    </x:xf>
    <x:xf numFmtId="0" fontId="20" fillId="0" borderId="0" xfId="0" applyNumberFormat="1" applyFont="1" applyFill="1" applyBorder="1" applyAlignment="1">
      <x:alignment vertical="center" wrapText="1"/>
    </x:xf>
    <x:xf numFmtId="200" fontId="3" fillId="37" borderId="0" xfId="0" applyNumberFormat="1" applyFont="1" applyFill="1" applyBorder="1" applyAlignment="1">
      <x:alignment vertical="center"/>
    </x:xf>
    <x:xf numFmtId="216" fontId="0" fillId="0" borderId="0" xfId="0" applyNumberFormat="1" applyFont="1" applyFill="1" applyBorder="1" applyAlignment="1">
      <x:alignment vertical="center" wrapText="1"/>
    </x:xf>
    <x:xf numFmtId="0" fontId="12" fillId="10" borderId="0" xfId="0" applyNumberFormat="1" applyFont="1" applyFill="1" applyBorder="1" applyAlignment="1">
      <x:alignment vertical="center" wrapText="1"/>
    </x:xf>
    <x:xf numFmtId="200" fontId="12" fillId="10" borderId="0" xfId="0" applyNumberFormat="1" applyFont="1" applyFill="1" applyBorder="1" applyAlignment="1">
      <x:alignment vertical="center" wrapText="1"/>
    </x:xf>
    <x:xf numFmtId="206" fontId="12" fillId="10" borderId="0" xfId="0" applyNumberFormat="1" applyFont="1" applyFill="1" applyBorder="1" applyAlignment="1">
      <x:alignment vertical="center" wrapText="1"/>
    </x:xf>
    <x:xf numFmtId="201" fontId="12" fillId="10" borderId="0" xfId="0" applyNumberFormat="1" applyFont="1" applyFill="1" applyBorder="1" applyAlignment="1">
      <x:alignment vertical="center" wrapText="1"/>
    </x:xf>
    <x:xf numFmtId="202" fontId="12" fillId="3" borderId="0" xfId="0" applyNumberFormat="1" applyFont="1" applyFill="1" applyBorder="1" applyAlignment="1">
      <x:alignment vertical="center" wrapText="1"/>
    </x:xf>
    <x:xf numFmtId="0" fontId="3" fillId="10" borderId="0" xfId="0" applyNumberFormat="1" applyFont="1" applyFill="1" applyBorder="1" applyAlignment="1">
      <x:alignment vertical="center"/>
    </x:xf>
    <x:xf numFmtId="200" fontId="3" fillId="10" borderId="0" xfId="0" applyNumberFormat="1" applyFont="1" applyFill="1" applyBorder="1" applyAlignment="1">
      <x:alignment vertical="center"/>
    </x:xf>
    <x:xf numFmtId="200" fontId="19" fillId="2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0" fontId="18" fillId="3" borderId="0" xfId="0" applyNumberFormat="1" applyFont="1" applyFill="1" applyBorder="1" applyAlignment="1">
      <x:alignment horizontal="center" vertical="center"/>
    </x:xf>
    <x:xf numFmtId="200" fontId="3" fillId="38" borderId="0" xfId="0" applyNumberFormat="1" applyFont="1" applyFill="1" applyBorder="1" applyAlignment="1">
      <x:alignment vertical="center"/>
    </x:xf>
    <x:xf numFmtId="200" fontId="3" fillId="39" borderId="0" xfId="0" applyNumberFormat="1" applyFont="1" applyFill="1" applyBorder="1" applyAlignment="1">
      <x:alignment vertical="center"/>
    </x:xf>
    <x:xf numFmtId="0" fontId="18" fillId="39" borderId="0" xfId="0" applyNumberFormat="1" applyFont="1" applyFill="1" applyBorder="1" applyAlignment="1">
      <x:alignment horizontal="center" vertical="center"/>
    </x:xf>
    <x:xf numFmtId="217" fontId="3" fillId="0" borderId="0" xfId="0" applyNumberFormat="1" applyFont="1" applyFill="1" applyBorder="1" applyAlignment="1">
      <x:alignment vertical="center"/>
    </x:xf>
    <x:xf numFmtId="218" fontId="0" fillId="0" borderId="0" xfId="0" applyNumberFormat="1" applyFont="1" applyFill="1" applyBorder="1"/>
    <x:xf numFmtId="209" fontId="19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204" fontId="0" fillId="0" borderId="0" xfId="0" applyNumberFormat="1" applyFont="1" applyFill="1" applyBorder="1" applyAlignment="1">
      <x:alignment vertical="center" wrapText="1"/>
    </x:xf>
    <x:xf numFmtId="0" fontId="21" fillId="0" borderId="0" xfId="0" applyNumberFormat="1" applyFont="1" applyFill="1" applyBorder="1"/>
    <x:xf numFmtId="0" fontId="22" fillId="0" borderId="0" xfId="0" applyNumberFormat="1" applyFont="1" applyFill="1" applyBorder="1"/>
    <x:xf numFmtId="0" fontId="22" fillId="0" borderId="0" xfId="0" applyNumberFormat="1" applyFont="1" applyFill="1" applyBorder="1" applyAlignment="1">
      <x:alignment vertical="center"/>
    </x:xf>
    <x:xf numFmtId="0" fontId="22" fillId="0" borderId="0" xfId="0" applyNumberFormat="1" applyFont="1" applyFill="1" applyBorder="1" applyAlignment="1">
      <x:alignment vertical="center" wrapText="1"/>
    </x:xf>
    <x:xf numFmtId="0" fontId="22" fillId="40" borderId="0" xfId="0" applyNumberFormat="1" applyFont="1" applyFill="1" applyBorder="1" applyAlignment="1">
      <x:alignment vertical="center" wrapText="1"/>
    </x:xf>
    <x:xf numFmtId="0" fontId="23" fillId="40" borderId="0" xfId="0" applyNumberFormat="1" applyFont="1" applyFill="1" applyBorder="1" applyAlignment="1">
      <x:alignment vertical="center" wrapText="1"/>
    </x:xf>
    <x:xf numFmtId="0" fontId="24" fillId="40" borderId="0" xfId="0" applyNumberFormat="1" applyFont="1" applyFill="1" applyBorder="1" applyAlignment="1">
      <x:alignment vertical="center" wrapText="1"/>
    </x:xf>
    <x:xf numFmtId="0" fontId="25" fillId="40" borderId="0" xfId="0" applyNumberFormat="1" applyFont="1" applyFill="1" applyBorder="1" applyAlignment="1">
      <x:alignment vertical="center" wrapText="1"/>
    </x:xf>
    <x:xf numFmtId="202" fontId="22" fillId="0" borderId="0" xfId="0" applyNumberFormat="1" applyFont="1" applyFill="1" applyBorder="1" applyAlignment="1">
      <x:alignment vertical="center" wrapText="1"/>
    </x:xf>
    <x:xf numFmtId="201" fontId="22" fillId="0" borderId="0" xfId="0" applyNumberFormat="1" applyFont="1" applyFill="1" applyBorder="1" applyAlignment="1">
      <x:alignment vertical="center" wrapText="1"/>
    </x:xf>
    <x:xf numFmtId="0" fontId="22" fillId="41" borderId="0" xfId="0" applyNumberFormat="1" applyFont="1" applyFill="1" applyBorder="1" applyAlignment="1">
      <x:alignment vertical="center" wrapText="1"/>
    </x:xf>
    <x:xf numFmtId="202" fontId="22" fillId="41" borderId="0" xfId="0" applyNumberFormat="1" applyFont="1" applyFill="1" applyBorder="1" applyAlignment="1">
      <x:alignment vertical="center" wrapText="1"/>
    </x:xf>
    <x:xf numFmtId="204" fontId="22" fillId="0" borderId="0" xfId="0" applyNumberFormat="1" applyFont="1" applyFill="1" applyBorder="1" applyAlignment="1">
      <x:alignment vertical="center" wrapText="1"/>
    </x:xf>
    <x:xf numFmtId="219" fontId="22" fillId="41" borderId="0" xfId="0" applyNumberFormat="1" applyFont="1" applyFill="1" applyBorder="1" applyAlignment="1">
      <x:alignment vertical="center" wrapText="1"/>
    </x:xf>
    <x:xf numFmtId="200" fontId="22" fillId="0" borderId="0" xfId="0" applyNumberFormat="1" applyFont="1" applyFill="1" applyBorder="1" applyAlignment="1">
      <x:alignment vertical="center" wrapText="1"/>
    </x:xf>
    <x:xf numFmtId="200" fontId="22" fillId="41" borderId="0" xfId="0" applyNumberFormat="1" applyFont="1" applyFill="1" applyBorder="1" applyAlignment="1">
      <x:alignment vertical="center" wrapText="1"/>
    </x:xf>
    <x:xf numFmtId="219" fontId="22" fillId="0" borderId="0" xfId="0" applyNumberFormat="1" applyFont="1" applyFill="1" applyBorder="1" applyAlignment="1">
      <x:alignment vertical="center" wrapText="1"/>
    </x:xf>
    <x:xf numFmtId="200" fontId="22" fillId="42" borderId="0" xfId="0" applyNumberFormat="1" applyFont="1" applyFill="1" applyBorder="1" applyAlignment="1">
      <x:alignment vertical="center" wrapText="1"/>
    </x:xf>
    <x:xf numFmtId="200" fontId="26" fillId="42" borderId="0" xfId="0" applyNumberFormat="1" applyFont="1" applyFill="1" applyBorder="1" applyAlignment="1">
      <x:alignment vertical="center" wrapText="1"/>
    </x:xf>
    <x:xf numFmtId="220" fontId="0" fillId="0" borderId="0" xfId="0" applyNumberFormat="1" applyFont="1" applyFill="1" applyBorder="1" applyAlignment="1">
      <x:alignment vertical="center" wrapText="1"/>
    </x:xf>
    <x:xf numFmtId="0" fontId="21" fillId="0" borderId="0" xfId="0" applyNumberFormat="1" applyFont="1" applyFill="1" applyBorder="1" applyAlignment="1">
      <x:alignment wrapText="1"/>
    </x:xf>
    <x:xf numFmtId="0" fontId="21" fillId="0" borderId="0" xfId="0" applyNumberFormat="1" applyFont="1" applyFill="1" applyBorder="1" applyAlignment="1">
      <x:alignment vertical="center" wrapText="1"/>
    </x:xf>
    <x:xf numFmtId="0" fontId="21" fillId="43" borderId="0" xfId="0" applyNumberFormat="1" applyFont="1" applyFill="1" applyBorder="1" applyAlignment="1">
      <x:alignment vertical="center" wrapText="1"/>
    </x:xf>
    <x:xf numFmtId="0" fontId="23" fillId="43" borderId="0" xfId="0" applyNumberFormat="1" applyFont="1" applyFill="1" applyBorder="1" applyAlignment="1">
      <x:alignment vertical="center" wrapText="1"/>
    </x:xf>
    <x:xf numFmtId="0" fontId="24" fillId="43" borderId="0" xfId="0" applyNumberFormat="1" applyFont="1" applyFill="1" applyBorder="1" applyAlignment="1">
      <x:alignment vertical="center" wrapText="1"/>
    </x:xf>
    <x:xf numFmtId="0" fontId="25" fillId="43" borderId="0" xfId="0" applyNumberFormat="1" applyFont="1" applyFill="1" applyBorder="1" applyAlignment="1">
      <x:alignment vertical="center" wrapText="1"/>
    </x:xf>
    <x:xf numFmtId="210" fontId="21" fillId="0" borderId="0" xfId="0" applyNumberFormat="1" applyFont="1" applyFill="1" applyBorder="1" applyAlignment="1">
      <x:alignment vertical="center" wrapText="1"/>
    </x:xf>
    <x:xf numFmtId="221" fontId="21" fillId="0" borderId="0" xfId="0" applyNumberFormat="1" applyFont="1" applyFill="1" applyBorder="1" applyAlignment="1">
      <x:alignment vertical="center" wrapText="1"/>
    </x:xf>
    <x:xf numFmtId="200" fontId="21" fillId="0" borderId="0" xfId="0" applyNumberFormat="1" applyFont="1" applyFill="1" applyBorder="1" applyAlignment="1">
      <x:alignment vertical="center" wrapText="1"/>
    </x:xf>
    <x:xf numFmtId="222" fontId="21" fillId="0" borderId="0" xfId="0" applyNumberFormat="1" applyFont="1" applyFill="1" applyBorder="1" applyAlignment="1">
      <x:alignment vertical="center" wrapText="1"/>
    </x:xf>
    <x:xf numFmtId="222" fontId="21" fillId="44" borderId="0" xfId="0" applyNumberFormat="1" applyFont="1" applyFill="1" applyBorder="1" applyAlignment="1">
      <x:alignment vertical="center" wrapText="1"/>
    </x:xf>
    <x:xf numFmtId="0" fontId="21" fillId="45" borderId="0" xfId="0" applyNumberFormat="1" applyFont="1" applyFill="1" applyBorder="1" applyAlignment="1">
      <x:alignment vertical="center" wrapText="1"/>
    </x:xf>
    <x:xf numFmtId="210" fontId="21" fillId="45" borderId="0" xfId="0" applyNumberFormat="1" applyFont="1" applyFill="1" applyBorder="1" applyAlignment="1">
      <x:alignment vertical="center" wrapText="1"/>
    </x:xf>
    <x:xf numFmtId="221" fontId="21" fillId="45" borderId="0" xfId="0" applyNumberFormat="1" applyFont="1" applyFill="1" applyBorder="1" applyAlignment="1">
      <x:alignment vertical="center" wrapText="1"/>
    </x:xf>
    <x:xf numFmtId="200" fontId="21" fillId="45" borderId="0" xfId="0" applyNumberFormat="1" applyFont="1" applyFill="1" applyBorder="1" applyAlignment="1">
      <x:alignment vertical="center" wrapText="1"/>
    </x:xf>
    <x:xf numFmtId="222" fontId="21" fillId="45" borderId="0" xfId="0" applyNumberFormat="1" applyFont="1" applyFill="1" applyBorder="1" applyAlignment="1">
      <x:alignment vertical="center" wrapText="1"/>
    </x:xf>
    <x:xf numFmtId="0" fontId="21" fillId="44" borderId="0" xfId="0" applyNumberFormat="1" applyFont="1" applyFill="1" applyBorder="1" applyAlignment="1">
      <x:alignment vertical="center" wrapText="1"/>
    </x:xf>
    <x:xf numFmtId="0" fontId="21" fillId="46" borderId="0" xfId="0" applyNumberFormat="1" applyFont="1" applyFill="1" applyBorder="1" applyAlignment="1">
      <x:alignment vertical="center" wrapText="1"/>
    </x:xf>
    <x:xf numFmtId="0" fontId="23" fillId="46" borderId="0" xfId="0" applyNumberFormat="1" applyFont="1" applyFill="1" applyBorder="1" applyAlignment="1">
      <x:alignment vertical="center" wrapText="1"/>
    </x:xf>
    <x:xf numFmtId="0" fontId="24" fillId="46" borderId="0" xfId="0" applyNumberFormat="1" applyFont="1" applyFill="1" applyBorder="1" applyAlignment="1">
      <x:alignment vertical="center" wrapText="1"/>
    </x:xf>
    <x:xf numFmtId="0" fontId="21" fillId="47" borderId="0" xfId="0" applyNumberFormat="1" applyFont="1" applyFill="1" applyBorder="1" applyAlignment="1">
      <x:alignment vertical="center" wrapText="1"/>
    </x:xf>
    <x:xf numFmtId="200" fontId="21" fillId="47" borderId="0" xfId="0" applyNumberFormat="1" applyFont="1" applyFill="1" applyBorder="1" applyAlignment="1">
      <x:alignment vertical="center" wrapText="1"/>
    </x:xf>
    <x:xf numFmtId="216" fontId="21" fillId="0" borderId="0" xfId="0" applyNumberFormat="1" applyFont="1" applyFill="1" applyBorder="1" applyAlignment="1">
      <x:alignment vertical="center" wrapText="1"/>
    </x:xf>
    <x:xf numFmtId="216" fontId="21" fillId="47" borderId="0" xfId="0" applyNumberFormat="1" applyFont="1" applyFill="1" applyBorder="1" applyAlignment="1">
      <x:alignment vertical="center" wrapText="1"/>
    </x:xf>
    <x:xf numFmtId="222" fontId="21" fillId="47" borderId="0" xfId="0" applyNumberFormat="1" applyFont="1" applyFill="1" applyBorder="1" applyAlignment="1">
      <x:alignment vertical="center" wrapText="1"/>
    </x:xf>
    <x:xf numFmtId="222" fontId="21" fillId="48" borderId="0" xfId="0" applyNumberFormat="1" applyFont="1" applyFill="1" applyBorder="1" applyAlignment="1">
      <x:alignment vertical="center" wrapText="1"/>
    </x:xf>
    <x:xf numFmtId="0" fontId="0" fillId="49" borderId="0" xfId="0" applyNumberFormat="1" applyFont="1" applyFill="1" applyBorder="1"/>
    <x:xf numFmtId="0" fontId="27" fillId="49" borderId="0" xfId="0" applyNumberFormat="1" applyFont="1" applyFill="1" applyBorder="1"/>
    <x:xf numFmtId="0" fontId="28" fillId="49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 wrapText="1"/>
    </x:xf>
    <x:xf numFmtId="201" fontId="3" fillId="4" borderId="0" xfId="0" applyNumberFormat="1" applyFont="1" applyFill="1" applyBorder="1" applyAlignment="1">
      <x:alignment vertical="center" wrapText="1"/>
    </x:xf>
    <x:xf numFmtId="202" fontId="3" fillId="3" borderId="0" xfId="0" applyNumberFormat="1" applyFont="1" applyFill="1" applyBorder="1" applyAlignment="1">
      <x:alignment vertical="center" wrapText="1"/>
    </x:xf>
    <x:xf numFmtId="202" fontId="3" fillId="0" borderId="0" xfId="0" applyNumberFormat="1" applyFont="1" applyFill="1" applyBorder="1" applyAlignment="1">
      <x:alignment vertical="center" wrapText="1"/>
    </x:xf>
    <x:xf numFmtId="223" fontId="3" fillId="0" borderId="0" xfId="0" applyNumberFormat="1" applyFont="1" applyFill="1" applyBorder="1" applyAlignment="1">
      <x:alignment vertical="center" wrapText="1"/>
    </x:xf>
    <x:xf numFmtId="224" fontId="12" fillId="10" borderId="0" xfId="0" applyNumberFormat="1" applyFont="1" applyFill="1" applyBorder="1" applyAlignment="1">
      <x:alignment vertical="center" wrapText="1"/>
    </x:xf>
    <x:xf numFmtId="224" fontId="12" fillId="26" borderId="0" xfId="0" applyNumberFormat="1" applyFont="1" applyFill="1" applyBorder="1" applyAlignment="1">
      <x:alignment vertical="center" wrapText="1"/>
    </x:xf>
    <x:xf numFmtId="0" fontId="29" fillId="10" borderId="0" xfId="0" applyNumberFormat="1" applyFont="1" applyFill="1" applyBorder="1" applyAlignment="1">
      <x:alignment vertical="center" wrapText="1"/>
    </x:xf>
    <x:xf numFmtId="0" fontId="29" fillId="26" borderId="0" xfId="0" applyNumberFormat="1" applyFont="1" applyFill="1" applyBorder="1" applyAlignment="1">
      <x:alignment vertical="center" wrapText="1"/>
    </x:xf>
    <x:xf numFmtId="0" fontId="21" fillId="41" borderId="0" xfId="0" applyNumberFormat="1" applyFont="1" applyFill="1" applyBorder="1" applyAlignment="1">
      <x:alignment vertical="center" wrapText="1"/>
    </x:xf>
    <x:xf numFmtId="210" fontId="21" fillId="41" borderId="0" xfId="0" applyNumberFormat="1" applyFont="1" applyFill="1" applyBorder="1" applyAlignment="1">
      <x:alignment vertical="center" wrapText="1"/>
    </x:xf>
    <x:xf numFmtId="221" fontId="21" fillId="41" borderId="0" xfId="0" applyNumberFormat="1" applyFont="1" applyFill="1" applyBorder="1" applyAlignment="1">
      <x:alignment vertical="center" wrapText="1"/>
    </x:xf>
    <x:xf numFmtId="200" fontId="21" fillId="41" borderId="0" xfId="0" applyNumberFormat="1" applyFont="1" applyFill="1" applyBorder="1" applyAlignment="1">
      <x:alignment vertical="center" wrapText="1"/>
    </x:xf>
    <x:xf numFmtId="222" fontId="21" fillId="42" borderId="0" xfId="0" applyNumberFormat="1" applyFont="1" applyFill="1" applyBorder="1" applyAlignment="1">
      <x:alignment vertical="center" wrapText="1"/>
    </x:xf>
    <x:xf numFmtId="222" fontId="21" fillId="41" borderId="0" xfId="0" applyNumberFormat="1" applyFont="1" applyFill="1" applyBorder="1" applyAlignment="1">
      <x:alignment vertical="center" wrapText="1"/>
    </x:xf>
    <x:xf numFmtId="0" fontId="21" fillId="42" borderId="0" xfId="0" applyNumberFormat="1" applyFont="1" applyFill="1" applyBorder="1" applyAlignment="1">
      <x:alignment vertical="center" wrapText="1"/>
    </x:xf>
    <x:xf numFmtId="216" fontId="21" fillId="41" borderId="0" xfId="0" applyNumberFormat="1" applyFont="1" applyFill="1" applyBorder="1" applyAlignment="1">
      <x:alignment vertical="center" wrapText="1"/>
    </x:xf>
    <x:xf numFmtId="0" fontId="24" fillId="50" borderId="0" xfId="0" applyNumberFormat="1" applyFont="1" applyFill="1" applyBorder="1" applyAlignment="1">
      <x:alignment vertical="center" wrapText="1"/>
    </x:xf>
    <x:xf numFmtId="0" fontId="0" fillId="50" borderId="0" xfId="0" applyNumberFormat="1" applyFont="1" applyFill="1" applyBorder="1" applyAlignment="1">
      <x:alignment vertical="center" wrapText="1"/>
    </x:xf>
    <x:xf numFmtId="0" fontId="27" fillId="50" borderId="0" xfId="0" applyNumberFormat="1" applyFont="1" applyFill="1" applyBorder="1" applyAlignment="1">
      <x:alignment vertical="center" wrapText="1"/>
    </x:xf>
    <x:xf numFmtId="0" fontId="28" fillId="50" borderId="0" xfId="0" applyNumberFormat="1" applyFont="1" applyFill="1" applyBorder="1" applyAlignment="1">
      <x:alignment vertical="center" wrapText="1"/>
    </x:xf>
    <x:xf numFmtId="0" fontId="22" fillId="51" borderId="0" xfId="0" applyNumberFormat="1" applyFont="1" applyFill="1" applyBorder="1" applyAlignment="1">
      <x:alignment vertical="center" wrapText="1"/>
    </x:xf>
    <x:xf numFmtId="0" fontId="0" fillId="51" borderId="0" xfId="0" applyNumberFormat="1" applyFont="1" applyFill="1" applyBorder="1" applyAlignment="1">
      <x:alignment vertical="center" wrapText="1"/>
    </x:xf>
    <x:xf numFmtId="0" fontId="22" fillId="52" borderId="0" xfId="0" applyNumberFormat="1" applyFont="1" applyFill="1" applyBorder="1" applyAlignment="1">
      <x:alignment vertical="center" wrapText="1"/>
    </x:xf>
    <x:xf numFmtId="0" fontId="0" fillId="52" borderId="0" xfId="0" applyNumberFormat="1" applyFont="1" applyFill="1" applyBorder="1" applyAlignment="1">
      <x:alignment vertical="center" wrapText="1"/>
    </x:xf>
    <x:xf numFmtId="0" fontId="25" fillId="50" borderId="0" xfId="0" applyNumberFormat="1" applyFont="1" applyFill="1" applyBorder="1" applyAlignment="1">
      <x:alignment vertical="center" wrapText="1"/>
    </x:xf>
    <x:xf numFmtId="0" fontId="0" fillId="50" borderId="0" xfId="0" applyNumberFormat="1" applyFont="1" applyFill="1" applyBorder="1"/>
    <x:xf numFmtId="0" fontId="27" fillId="50" borderId="0" xfId="0" applyNumberFormat="1" applyFont="1" applyFill="1" applyBorder="1"/>
    <x:xf numFmtId="0" fontId="28" fillId="50" borderId="0" xfId="0" applyNumberFormat="1" applyFont="1" applyFill="1" applyBorder="1"/>
    <x:xf numFmtId="0" fontId="28" fillId="40" borderId="0" xfId="0" applyNumberFormat="1" applyFont="1" applyFill="1" applyBorder="1"/>
    <x:xf numFmtId="0" fontId="28" fillId="40" borderId="0" xfId="0" applyNumberFormat="1" applyFont="1" applyFill="1" applyBorder="1" applyAlignment="1">
      <x:alignment vertical="center" wrapText="1"/>
    </x:xf>
    <x:xf numFmtId="0" fontId="22" fillId="10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0" fillId="41" borderId="0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vertical="center"/>
    </x:xf>
    <x:xf numFmtId="202" fontId="12" fillId="10" borderId="0" xfId="0" applyNumberFormat="1" applyFont="1" applyFill="1" applyBorder="1" applyAlignment="1">
      <x:alignment vertical="center" wrapText="1"/>
    </x:xf>
    <x:xf numFmtId="0" fontId="12" fillId="53" borderId="0" xfId="0" applyNumberFormat="1" applyFont="1" applyFill="1" applyBorder="1" applyAlignment="1">
      <x:alignment vertical="center" wrapText="1"/>
    </x:xf>
    <x:xf numFmtId="200" fontId="12" fillId="53" borderId="0" xfId="0" applyNumberFormat="1" applyFont="1" applyFill="1" applyBorder="1" applyAlignment="1">
      <x:alignment vertical="center" wrapText="1"/>
    </x:xf>
    <x:xf numFmtId="206" fontId="12" fillId="53" borderId="0" xfId="0" applyNumberFormat="1" applyFont="1" applyFill="1" applyBorder="1" applyAlignment="1">
      <x:alignment vertical="center" wrapText="1"/>
    </x:xf>
    <x:xf numFmtId="201" fontId="12" fillId="53" borderId="0" xfId="0" applyNumberFormat="1" applyFont="1" applyFill="1" applyBorder="1" applyAlignment="1">
      <x:alignment vertical="center" wrapText="1"/>
    </x:xf>
    <x:xf numFmtId="202" fontId="12" fillId="53" borderId="0" xfId="0" applyNumberFormat="1" applyFont="1" applyFill="1" applyBorder="1" applyAlignment="1">
      <x:alignment vertical="center" wrapText="1"/>
    </x:xf>
    <x:xf numFmtId="224" fontId="12" fillId="53" borderId="0" xfId="0" applyNumberFormat="1" applyFont="1" applyFill="1" applyBorder="1" applyAlignment="1">
      <x:alignment vertical="center" wrapText="1"/>
    </x:xf>
    <x:xf numFmtId="218" fontId="12" fillId="53" borderId="0" xfId="0" applyNumberFormat="1" applyFont="1" applyFill="1" applyBorder="1" applyAlignment="1">
      <x:alignment vertical="center" wrapText="1"/>
    </x:xf>
    <x:xf numFmtId="0" fontId="12" fillId="54" borderId="0" xfId="0" applyNumberFormat="1" applyFont="1" applyFill="1" applyBorder="1" applyAlignment="1">
      <x:alignment vertical="center" wrapText="1"/>
    </x:xf>
    <x:xf numFmtId="200" fontId="12" fillId="54" borderId="0" xfId="0" applyNumberFormat="1" applyFont="1" applyFill="1" applyBorder="1" applyAlignment="1">
      <x:alignment vertical="center" wrapText="1"/>
    </x:xf>
    <x:xf numFmtId="206" fontId="12" fillId="54" borderId="0" xfId="0" applyNumberFormat="1" applyFont="1" applyFill="1" applyBorder="1" applyAlignment="1">
      <x:alignment vertical="center" wrapText="1"/>
    </x:xf>
    <x:xf numFmtId="201" fontId="12" fillId="54" borderId="0" xfId="0" applyNumberFormat="1" applyFont="1" applyFill="1" applyBorder="1" applyAlignment="1">
      <x:alignment vertical="center" wrapText="1"/>
    </x:xf>
    <x:xf numFmtId="202" fontId="12" fillId="54" borderId="0" xfId="0" applyNumberFormat="1" applyFont="1" applyFill="1" applyBorder="1" applyAlignment="1">
      <x:alignment vertical="center" wrapText="1"/>
    </x:xf>
    <x:xf numFmtId="224" fontId="12" fillId="54" borderId="0" xfId="0" applyNumberFormat="1" applyFont="1" applyFill="1" applyBorder="1" applyAlignment="1">
      <x:alignment vertical="center" wrapText="1"/>
    </x:xf>
    <x:xf numFmtId="218" fontId="12" fillId="54" borderId="0" xfId="0" applyNumberFormat="1" applyFont="1" applyFill="1" applyBorder="1" applyAlignment="1">
      <x:alignment vertical="center" wrapText="1"/>
    </x:xf>
    <x:xf numFmtId="0" fontId="21" fillId="0" borderId="0" xfId="0" applyNumberFormat="1" applyFont="1" applyFill="1" applyBorder="1" applyAlignment="1">
      <x:alignment vertical="center"/>
    </x:xf>
    <x:xf numFmtId="206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bde2e48d84486" /><Relationship Type="http://schemas.openxmlformats.org/officeDocument/2006/relationships/theme" Target="/xl/theme/theme1.xml" Id="R4e24f1a472ac4059" /><Relationship Type="http://schemas.openxmlformats.org/officeDocument/2006/relationships/sharedStrings" Target="/xl/sharedStrings.xml" Id="R4569ba9709a04490" /><Relationship Type="http://schemas.openxmlformats.org/officeDocument/2006/relationships/worksheet" Target="/xl/worksheets/sheet1.xml" Id="Re37ca664bf554bf9" /><Relationship Type="http://schemas.openxmlformats.org/officeDocument/2006/relationships/worksheet" Target="/xl/worksheets/sheet2.xml" Id="Ra0ebe48f8b4b460f" /><Relationship Type="http://schemas.openxmlformats.org/officeDocument/2006/relationships/worksheet" Target="/xl/worksheets/sheet3.xml" Id="R7b27c05c57df46b4" /><Relationship Type="http://schemas.openxmlformats.org/officeDocument/2006/relationships/worksheet" Target="/xl/worksheets/sheet4.xml" Id="Ra9537dd639a04b9c" /><Relationship Type="http://schemas.openxmlformats.org/officeDocument/2006/relationships/worksheet" Target="/xl/worksheets/sheet5.xml" Id="Rfacaa15c538e433b" /><Relationship Type="http://schemas.openxmlformats.org/officeDocument/2006/relationships/worksheet" Target="/xl/worksheets/sheet6.xml" Id="R759d6517a4e3468b" /><Relationship Type="http://schemas.openxmlformats.org/officeDocument/2006/relationships/worksheet" Target="/xl/worksheets/sheet7.xml" Id="R876a5eb02afe481c" /><Relationship Type="http://schemas.openxmlformats.org/officeDocument/2006/relationships/worksheet" Target="/xl/worksheets/sheet8.xml" Id="Rfc0f10535d0442dd" /><Relationship Type="http://schemas.openxmlformats.org/officeDocument/2006/relationships/worksheet" Target="/xl/worksheets/sheet9.xml" Id="R6a02a5464ed54ec0" /><Relationship Type="http://schemas.openxmlformats.org/officeDocument/2006/relationships/worksheet" Target="/xl/worksheets/sheet10.xml" Id="R3c8f806a1fa04e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hyperlink" Target="https://www.fueleconomy.gov/feg/Find.do?action=sbs&amp;id=50372" TargetMode="External" Id="Rad38f1749fe44b4d" /><Relationship Type="http://schemas.openxmlformats.org/officeDocument/2006/relationships/hyperlink" Target="https://www.fueleconomy.gov/feg/Find.do?action=sbs&amp;id=49975" TargetMode="External" Id="R441ee23194f34e0c" /><Relationship Type="http://schemas.openxmlformats.org/officeDocument/2006/relationships/hyperlink" Target="https://www.fueleconomy.gov/feg/Find.do?action=sbs&amp;id=50301" TargetMode="External" Id="Rbf3f5bcbf68f46a3" /><Relationship Type="http://schemas.openxmlformats.org/officeDocument/2006/relationships/hyperlink" Target="https://www.fueleconomy.gov/feg/Find.do?action=sbs&amp;id=49953" TargetMode="External" Id="R217667b31832447a" /><Relationship Type="http://schemas.openxmlformats.org/officeDocument/2006/relationships/hyperlink" Target="https://www.fueleconomy.gov/feg/Find.do?action=sbs&amp;id=50307" TargetMode="External" Id="Ra0ebd67241f24b59" /><Relationship Type="http://schemas.openxmlformats.org/officeDocument/2006/relationships/hyperlink" Target="https://www.fueleconomy.gov/feg/Find.do?action=sbs&amp;id=50645" TargetMode="External" Id="Re83c24518e454d54" /><Relationship Type="http://schemas.openxmlformats.org/officeDocument/2006/relationships/hyperlink" Target="https://www.fueleconomy.gov/feg/Find.do?action=sbs&amp;id=50864" TargetMode="External" Id="R7415e63527324fdd" /><Relationship Type="http://schemas.openxmlformats.org/officeDocument/2006/relationships/hyperlink" Target="https://www.fueleconomy.gov/feg/Find.do?action=sbs&amp;id=49982" TargetMode="External" Id="R33a4c9d1134a469b" /><Relationship Type="http://schemas.openxmlformats.org/officeDocument/2006/relationships/hyperlink" Target="https://www.fueleconomy.gov/feg/Find.do?action=sbs&amp;id=49989" TargetMode="External" Id="R78c91a6acf5546b0" /><Relationship Type="http://schemas.openxmlformats.org/officeDocument/2006/relationships/hyperlink" Target="https://www.fueleconomy.gov/feg/Find.do?action=sbs&amp;id=50214" TargetMode="External" Id="R0a7b9788b6d642de" /><Relationship Type="http://schemas.openxmlformats.org/officeDocument/2006/relationships/hyperlink" Target="https://www.fueleconomy.gov/feg/Find.do?action=sbs&amp;id=50038" TargetMode="External" Id="R53d82c3b3e824d03" /><Relationship Type="http://schemas.openxmlformats.org/officeDocument/2006/relationships/hyperlink" Target="https://www.fueleconomy.gov/feg/Find.do?action=sbs&amp;id=50374" TargetMode="External" Id="Red4e8514744a4228" /><Relationship Type="http://schemas.openxmlformats.org/officeDocument/2006/relationships/hyperlink" Target="https://www.fueleconomy.gov/feg/Find.do?action=sbs&amp;id=49987" TargetMode="External" Id="Re928bdd82fe944f4" /><Relationship Type="http://schemas.openxmlformats.org/officeDocument/2006/relationships/hyperlink" Target="https://www.fueleconomy.gov/feg/Find.do?action=sbs&amp;id=50205" TargetMode="External" Id="Rea66c2cf8e0740bd" /><Relationship Type="http://schemas.openxmlformats.org/officeDocument/2006/relationships/hyperlink" Target="https://www.fueleconomy.gov/feg/Find.do?action=sbs&amp;id=50291" TargetMode="External" Id="R7940fee64fa54fa1" /><Relationship Type="http://schemas.openxmlformats.org/officeDocument/2006/relationships/hyperlink" Target="https://www.fueleconomy.gov/feg/Find.do?action=sbs&amp;id=50365" TargetMode="External" Id="R3b0e83aa078b4b89" /></Relationships>
</file>

<file path=xl/worksheets/sheet1.xml><?xml version="1.0" encoding="utf-8"?>
<x:worksheet xmlns:x="http://schemas.openxmlformats.org/spreadsheetml/2006/main">
  <x:sheetPr>
    <x:tabColor rgb="FF24375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.630000114440918" hidden="0" customWidth="1"/>
    <x:col min="2" max="2" width="13.75" hidden="0" customWidth="1"/>
    <x:col min="3" max="3" width="13.75" hidden="0" customWidth="1"/>
    <x:col min="4" max="4" width="9.5" hidden="0" customWidth="1"/>
    <x:col min="5" max="5" width="12.5" hidden="0" customWidth="1"/>
    <x:col min="6" max="6" width="11.25" hidden="0" customWidth="1"/>
    <x:col min="7" max="7" width="10.75" hidden="0" customWidth="1"/>
    <x:col min="8" max="8" width="10.630000114440918" hidden="0" customWidth="1"/>
    <x:col min="9" max="9" width="12.380000114440918" hidden="0" customWidth="1"/>
    <x:col min="10" max="10" width="10.5" hidden="0" customWidth="1"/>
    <x:col min="11" max="11" width="10.5" hidden="0" customWidth="1"/>
    <x:col min="12" max="12" width="11.880000114440918" hidden="0" customWidth="1"/>
    <x:col min="13" max="13" width="32.880001068115234" hidden="0" customWidth="1"/>
    <x:col min="14" max="14" width="29.3799991607666" hidden="0" customWidth="1"/>
  </x:cols>
  <x:sheetData>
    <x:row r="2" ht="27" customHeight="1">
      <x:c r="A2" s="6" t="str">
        <x:v>Part 1   Vehicle data and research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>
      <x:c r="A3" s="7" t="str">
        <x:v>See Part 1 Comparison for selected U.S. models. Extra-credit vehicles appear below the U.S. research rows. Evidence IDs point to the Evidence tab.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33" customHeight="1">
      <x:c r="A5" s="12" t="str">
        <x:v>Vehicle ID</x:v>
      </x:c>
      <x:c r="B5" s="12" t="str">
        <x:v>Manufacturer</x:v>
      </x:c>
      <x:c r="C5" s="12" t="str">
        <x:v>Model</x:v>
      </x:c>
      <x:c r="D5" s="12" t="str">
        <x:v>Model year</x:v>
      </x:c>
      <x:c r="E5" s="12" t="str">
        <x:v>Trim / drive</x:v>
      </x:c>
      <x:c r="F5" s="12" t="str">
        <x:v>List price ($)</x:v>
      </x:c>
      <x:c r="G5" s="12" t="str">
        <x:v>Battery (kWh)</x:v>
      </x:c>
      <x:c r="H5" s="12" t="str">
        <x:v>EPA range (mi)</x:v>
      </x:c>
      <x:c r="I5" s="12" t="str">
        <x:v>Efficiency (mi/kWh)</x:v>
      </x:c>
      <x:c r="J5" s="12" t="str">
        <x:v>0–60 mph (s)</x:v>
      </x:c>
      <x:c r="K5" s="12" t="str">
        <x:v>Peak DC (kW)</x:v>
      </x:c>
      <x:c r="L5" s="12" t="str">
        <x:v>100 mi added (min)</x:v>
      </x:c>
      <x:c r="M5" s="12" t="str">
        <x:v>Screening status</x:v>
      </x:c>
      <x:c r="N5" s="12" t="str">
        <x:v>Field evidence IDs</x:v>
      </x:c>
    </x:row>
    <x:row r="6" ht="60" customHeight="1">
      <x:c r="A6" s="4" t="str">
        <x:v>EV-01</x:v>
      </x:c>
      <x:c r="B6" s="4" t="str">
        <x:v>Chevrolet</x:v>
      </x:c>
      <x:c r="C6" s="4" t="str">
        <x:v>Equinox EV</x:v>
      </x:c>
      <x:c r="D6" s="4" t="n">
        <x:v>2026</x:v>
      </x:c>
      <x:c r="E6" s="4" t="str">
        <x:v>LT 1 FWD</x:v>
      </x:c>
      <x:c r="F6" s="17" t="n">
        <x:f>Evidence!D117</x:f>
        <x:v>36795</x:v>
      </x:c>
      <x:c r="G6" s="4" t="n">
        <x:v>85</x:v>
      </x:c>
      <x:c r="H6" s="4" t="n">
        <x:v>319</x:v>
      </x:c>
      <x:c r="I6" s="18" t="n">
        <x:f>IF(AND(ISNUMBER(G6),ISNUMBER(H6),G6&gt;0,H6&gt;0),H6/G6,"")</x:f>
        <x:v>3.7529411764705882</x:v>
      </x:c>
      <x:c r="J6" s="67" t="n">
        <x:f>Evidence!D118</x:f>
        <x:v>7.9</x:v>
      </x:c>
      <x:c r="K6" s="4" t="n">
        <x:v>150</x:v>
      </x:c>
      <x:c r="L6" s="4"/>
      <x:c r="M6" s="66" t="str">
        <x:v>Dealer 0–60 figure with unspecified test method. New San Jose listing.</x:v>
      </x:c>
      <x:c r="N6" s="13" t="str">
        <x:v>Price E112 · battery E02 · range E03 · 0–60 E113 · DC E04 · stock E114</x:v>
      </x:c>
    </x:row>
    <x:row r="7" ht="49" customHeight="1">
      <x:c r="A7" s="4" t="str">
        <x:v>EV-02</x:v>
      </x:c>
      <x:c r="B7" s="4" t="str">
        <x:v>Chevrolet</x:v>
      </x:c>
      <x:c r="C7" s="4" t="str">
        <x:v>Bolt</x:v>
      </x:c>
      <x:c r="D7" s="4" t="n">
        <x:v>2027</x:v>
      </x:c>
      <x:c r="E7" s="4" t="str">
        <x:v>LT FWD</x:v>
      </x:c>
      <x:c r="F7" s="17" t="n">
        <x:v>28995</x:v>
      </x:c>
      <x:c r="G7" s="4" t="n">
        <x:v>65</x:v>
      </x:c>
      <x:c r="H7" s="4" t="n">
        <x:v>262</x:v>
      </x:c>
      <x:c r="I7" s="18" t="n">
        <x:f>IF(AND(ISNUMBER(G7),ISNUMBER(H7),G7&gt;0,H7&gt;0),H7/G7,"")</x:f>
        <x:v>4.030769230769231</x:v>
      </x:c>
      <x:c r="J7" s="20" t="n">
        <x:v>7.1</x:v>
      </x:c>
      <x:c r="K7" s="4" t="n">
        <x:v>150</x:v>
      </x:c>
      <x:c r="L7" s="4" t="n">
        <x:f>Evidence!D254</x:f>
        <x:v>12.65</x:v>
      </x:c>
      <x:c r="M7" s="13" t="str">
        <x:v>Required specs sourced. New listing found. Price includes destination.</x:v>
      </x:c>
      <x:c r="N7" s="13" t="str">
        <x:v>Price E05 · battery E06 · range E07 · 0–60 E08 · DC E09 · 100 mi E141 · stock E10 · size E11</x:v>
      </x:c>
    </x:row>
    <x:row r="8" ht="49" customHeight="1">
      <x:c r="A8" s="4" t="str">
        <x:v>EV-03</x:v>
      </x:c>
      <x:c r="B8" s="4" t="str">
        <x:v>Nissan</x:v>
      </x:c>
      <x:c r="C8" s="4" t="str">
        <x:v>LEAF</x:v>
      </x:c>
      <x:c r="D8" s="4" t="n">
        <x:v>2026</x:v>
      </x:c>
      <x:c r="E8" s="4" t="str">
        <x:v>S+ FWD</x:v>
      </x:c>
      <x:c r="F8" s="17" t="n">
        <x:f>Evidence!D17+Evidence!D18</x:f>
        <x:v>31535</x:v>
      </x:c>
      <x:c r="G8" s="4" t="n">
        <x:v>75</x:v>
      </x:c>
      <x:c r="H8" s="4" t="n">
        <x:v>303</x:v>
      </x:c>
      <x:c r="I8" s="18" t="n">
        <x:f>IF(AND(ISNUMBER(G8),ISNUMBER(H8),G8&gt;0,H8&gt;0),H8/G8,"")</x:f>
        <x:v>4.04</x:v>
      </x:c>
      <x:c r="J8" s="31" t="n">
        <x:f>Evidence!D253</x:f>
        <x:v>7.2</x:v>
      </x:c>
      <x:c r="K8" s="4" t="n">
        <x:v>150</x:v>
      </x:c>
      <x:c r="L8" s="4"/>
      <x:c r="M8" s="32" t="str">
        <x:v>0–60 is the trim-specific ProfessCars simulation, not an instrumented result. New San José listing.</x:v>
      </x:c>
      <x:c r="N8" s="13" t="str">
        <x:v>Price E12–13 · battery E14 · range E15 · 0–60 E140 · DC E16 · stock E17 · size E18</x:v>
      </x:c>
    </x:row>
    <x:row r="9" ht="53" customHeight="1">
      <x:c r="A9" s="4" t="str">
        <x:v>EV-04</x:v>
      </x:c>
      <x:c r="B9" s="4" t="str">
        <x:v>Kia</x:v>
      </x:c>
      <x:c r="C9" s="4" t="str">
        <x:v>EV3</x:v>
      </x:c>
      <x:c r="D9" s="4" t="n">
        <x:v>2027</x:v>
      </x:c>
      <x:c r="E9" s="4" t="str">
        <x:v>Wind FWD</x:v>
      </x:c>
      <x:c r="F9" s="17" t="n">
        <x:f>Evidence!D25+Evidence!D26</x:f>
        <x:v>36485</x:v>
      </x:c>
      <x:c r="G9" s="4" t="n">
        <x:v>81.4</x:v>
      </x:c>
      <x:c r="H9" s="4" t="n">
        <x:v>321</x:v>
      </x:c>
      <x:c r="I9" s="18" t="n">
        <x:f>IF(AND(ISNUMBER(G9),ISNUMBER(H9),G9&gt;0,H9&gt;0),H9/G9,"")</x:f>
        <x:v>3.9434889434889433</x:v>
      </x:c>
      <x:c r="J9" s="20" t="n">
        <x:v>7.3</x:v>
      </x:c>
      <x:c r="K9" s="33"/>
      <x:c r="L9" s="4"/>
      <x:c r="M9" s="34" t="str">
        <x:v>Provisional. U.S. Wind FWD peak DC open. European lead E68.</x:v>
      </x:c>
      <x:c r="N9" s="13" t="str">
        <x:v>Price E20–21 · battery E22 · range E23 · 0–60 E24 · inventory E25 · DC check E26</x:v>
      </x:c>
    </x:row>
    <x:row r="10" ht="60" customHeight="1">
      <x:c r="A10" s="4" t="str">
        <x:v>EV-05</x:v>
      </x:c>
      <x:c r="B10" s="4" t="str">
        <x:v>Subaru</x:v>
      </x:c>
      <x:c r="C10" s="4" t="str">
        <x:v>Uncharted</x:v>
      </x:c>
      <x:c r="D10" s="4" t="n">
        <x:v>2026</x:v>
      </x:c>
      <x:c r="E10" s="13" t="str">
        <x:v>Premium FWD</x:v>
      </x:c>
      <x:c r="F10" s="17" t="n">
        <x:f>Evidence!D33+Evidence!D34</x:f>
        <x:v>36445</x:v>
      </x:c>
      <x:c r="G10" s="4" t="n">
        <x:v>74.7</x:v>
      </x:c>
      <x:c r="H10" s="4" t="n">
        <x:v>308</x:v>
      </x:c>
      <x:c r="I10" s="18" t="n">
        <x:f>IF(AND(ISNUMBER(G10),ISNUMBER(H10),G10&gt;0,H10&gt;0),H10/G10,"")</x:f>
        <x:v>4.123159303882195</x:v>
      </x:c>
      <x:c r="J10" s="67" t="n">
        <x:f>Evidence!D72</x:f>
        <x:v>6.5</x:v>
      </x:c>
      <x:c r="K10" s="4" t="n">
        <x:v>150</x:v>
      </x:c>
      <x:c r="L10" s="4"/>
      <x:c r="M10" s="66" t="str">
        <x:v>0–60 is MotorTrend’s estimate for this FWD trim. New San Jose listing.</x:v>
      </x:c>
      <x:c r="N10" s="13" t="str">
        <x:v>Price E28–E29 · battery E30 · range E31 · 0–60 E67 · DC E32 · stock E33 · group E134</x:v>
      </x:c>
    </x:row>
    <x:row r="11" ht="60" customHeight="1">
      <x:c r="A11" s="4" t="str">
        <x:v>EV-06</x:v>
      </x:c>
      <x:c r="B11" s="4" t="str">
        <x:v>Hyundai</x:v>
      </x:c>
      <x:c r="C11" s="4" t="str">
        <x:v>IONIQ 5</x:v>
      </x:c>
      <x:c r="D11" s="4" t="n">
        <x:v>2027</x:v>
      </x:c>
      <x:c r="E11" s="13" t="str">
        <x:v>SE Long Range RWD</x:v>
      </x:c>
      <x:c r="F11" s="17" t="n">
        <x:f>Evidence!D39+Evidence!D40</x:f>
        <x:v>39400</x:v>
      </x:c>
      <x:c r="G11" s="4" t="n">
        <x:v>84</x:v>
      </x:c>
      <x:c r="H11" s="4" t="n">
        <x:v>318</x:v>
      </x:c>
      <x:c r="I11" s="18" t="n">
        <x:f>IF(AND(ISNUMBER(G11),ISNUMBER(H11),G11&gt;0,H11&gt;0),H11/G11,"")</x:f>
        <x:v>3.7857142857142856</x:v>
      </x:c>
      <x:c r="J11" s="67" t="n">
        <x:f>Evidence!D120</x:f>
        <x:v>7.4</x:v>
      </x:c>
      <x:c r="K11" s="4" t="n">
        <x:v>250</x:v>
      </x:c>
      <x:c r="L11" s="4"/>
      <x:c r="M11" s="66" t="str">
        <x:v>Published 0–60 with unspecified test method. C/D corroborates for the earlier 225-hp RWD powertrain.</x:v>
      </x:c>
      <x:c r="N11" s="13" t="str">
        <x:v>Price E34–E35 · battery E36 · range E37 · 0–60 E115/E116 · DC E38 · stock E39 · group E135</x:v>
      </x:c>
    </x:row>
    <x:row r="12" ht="64" customHeight="1">
      <x:c r="A12" s="4" t="str">
        <x:v>EV-07</x:v>
      </x:c>
      <x:c r="B12" s="4" t="str">
        <x:v>Toyota</x:v>
      </x:c>
      <x:c r="C12" s="4" t="str">
        <x:v>bZ</x:v>
      </x:c>
      <x:c r="D12" s="4" t="n">
        <x:v>2027</x:v>
      </x:c>
      <x:c r="E12" s="13" t="str">
        <x:v>XLE FWD Plus</x:v>
      </x:c>
      <x:c r="F12" s="17" t="n">
        <x:f>Evidence!D60</x:f>
        <x:v>39575</x:v>
      </x:c>
      <x:c r="G12" s="4" t="n">
        <x:v>74.7</x:v>
      </x:c>
      <x:c r="H12" s="4" t="n">
        <x:v>314</x:v>
      </x:c>
      <x:c r="I12" s="18" t="n">
        <x:f>IF(AND(ISNUMBER(G12),ISNUMBER(H12),G12&gt;0,H12&gt;0),H12/G12,"")</x:f>
        <x:v>4.203480589022758</x:v>
      </x:c>
      <x:c r="J12" s="20" t="n">
        <x:f>Evidence!D61</x:f>
        <x:v>6.2</x:v>
      </x:c>
      <x:c r="K12" s="4" t="n">
        <x:f>Evidence!D62</x:f>
        <x:v>150</x:v>
      </x:c>
      <x:c r="L12" s="4"/>
      <x:c r="M12" s="37" t="str">
        <x:v>Required specs sourced. 2026 matching-trim test used for unchanged 2027 model.</x:v>
      </x:c>
      <x:c r="N12" s="13" t="str">
        <x:v>Price E55 · battery E41 · range E42 · 0–60 E56 · DC E57 · carryover E58 · stock E43</x:v>
      </x:c>
    </x:row>
    <x:row r="13" ht="64" customHeight="1">
      <x:c r="A13" s="4" t="str">
        <x:v>EV-08</x:v>
      </x:c>
      <x:c r="B13" s="4" t="str">
        <x:v>Volvo</x:v>
      </x:c>
      <x:c r="C13" s="4" t="str">
        <x:v>EX30</x:v>
      </x:c>
      <x:c r="D13" s="4" t="n">
        <x:v>2026</x:v>
      </x:c>
      <x:c r="E13" s="13" t="str">
        <x:v>Plus Single Motor RWD</x:v>
      </x:c>
      <x:c r="F13" s="17" t="n">
        <x:v>40345</x:v>
      </x:c>
      <x:c r="G13" s="4" t="n">
        <x:v>69</x:v>
      </x:c>
      <x:c r="H13" s="4" t="n">
        <x:v>261</x:v>
      </x:c>
      <x:c r="I13" s="18" t="n">
        <x:f>IF(AND(ISNUMBER(G13),ISNUMBER(H13),G13&gt;0,H13&gt;0),H13/G13,"")</x:f>
        <x:v>3.782608695652174</x:v>
      </x:c>
      <x:c r="J13" s="20" t="n">
        <x:v>4.8</x:v>
      </x:c>
      <x:c r="K13" s="4" t="n">
        <x:v>153</x:v>
      </x:c>
      <x:c r="L13" s="4"/>
      <x:c r="M13" s="13" t="str">
        <x:v>Required specs sourced. New U.S. listing found. MSRP includes destination.</x:v>
      </x:c>
      <x:c r="N13" s="13" t="str">
        <x:v>List price E44 · Battery E45 · EPA range E46 · 0–60 mph E47 · Peak DC E48 · New listing E49 · Size screen E50</x:v>
      </x:c>
    </x:row>
    <x:row r="14" ht="60" customHeight="1">
      <x:c r="A14" s="4" t="str">
        <x:v>EV-09</x:v>
      </x:c>
      <x:c r="B14" s="4" t="str">
        <x:v>Tesla</x:v>
      </x:c>
      <x:c r="C14" s="4" t="str">
        <x:v>Model 3</x:v>
      </x:c>
      <x:c r="D14" s="4" t="n">
        <x:v>2026</x:v>
      </x:c>
      <x:c r="E14" s="13" t="str">
        <x:v>Premium RWD</x:v>
      </x:c>
      <x:c r="F14" s="17" t="n">
        <x:f>Evidence!D114</x:f>
        <x:v>43880</x:v>
      </x:c>
      <x:c r="G14" s="4" t="n">
        <x:f>Evidence!D122</x:f>
        <x:v>82</x:v>
      </x:c>
      <x:c r="H14" s="4" t="n">
        <x:v>363</x:v>
      </x:c>
      <x:c r="I14" s="18" t="n">
        <x:f>IF(AND(ISNUMBER(G14),ISNUMBER(H14),G14&gt;0,H14&gt;0),H14/G14,"")</x:f>
        <x:v>4.426829268292683</x:v>
      </x:c>
      <x:c r="J14" s="67" t="n">
        <x:f>Evidence!D123</x:f>
        <x:v>4.8</x:v>
      </x:c>
      <x:c r="K14" s="4" t="n">
        <x:v>250</x:v>
      </x:c>
      <x:c r="L14" s="4" t="n">
        <x:f>Evidence!D124</x:f>
        <x:v>12</x:v>
      </x:c>
      <x:c r="M14" s="66" t="str">
        <x:v>Battery and calculated efficiency approximate. New U.S. stock from a third-party listing and Tesla shows the orderable trim.</x:v>
      </x:c>
      <x:c r="N14" s="13" t="str">
        <x:v>Price E109 · battery E117/E110 · range E51 · 0–60 E118 · DC E53 · 100 mi E119 · order/stock E54/E120</x:v>
      </x:c>
    </x:row>
    <x:row r="15" ht="62" customHeight="1">
      <x:c r="A15" s="4" t="str">
        <x:v>EV-10</x:v>
      </x:c>
      <x:c r="B15" s="4" t="str">
        <x:v>MINI</x:v>
      </x:c>
      <x:c r="C15" s="13" t="str">
        <x:v>Countryman Electric</x:v>
      </x:c>
      <x:c r="D15" s="4" t="n">
        <x:v>2027</x:v>
      </x:c>
      <x:c r="E15" s="13" t="str">
        <x:v>SE ALL4 Signature Plus</x:v>
      </x:c>
      <x:c r="F15" s="17" t="n">
        <x:f>Evidence!D64+Evidence!D65</x:f>
        <x:v>46550</x:v>
      </x:c>
      <x:c r="G15" s="4" t="n">
        <x:v>64.7</x:v>
      </x:c>
      <x:c r="H15" s="4" t="n">
        <x:v>216</x:v>
      </x:c>
      <x:c r="I15" s="18" t="n">
        <x:f>IF(AND(ISNUMBER(G15),ISNUMBER(H15),G15&gt;0,H15&gt;0),H15/G15,"")</x:f>
        <x:v>3.338485316846986</x:v>
      </x:c>
      <x:c r="J15" s="20" t="n">
        <x:v>5.4</x:v>
      </x:c>
      <x:c r="K15" s="4" t="n">
        <x:v>130</x:v>
      </x:c>
      <x:c r="L15" s="4"/>
      <x:c r="M15" s="13" t="str">
        <x:v>Required figures sourced. Check wheel-specific range on the chosen VIN.</x:v>
      </x:c>
      <x:c r="N15" s="13" t="str">
        <x:v>Price E59–60 · battery E61 · range E62 · 0–60 E63 · DC E64 · stock E65</x:v>
      </x:c>
    </x:row>
    <x:row r="16" ht="59" customHeight="1">
      <x:c r="A16" s="4" t="str">
        <x:v>EV-11</x:v>
      </x:c>
      <x:c r="B16" s="4" t="str">
        <x:v>Toyota</x:v>
      </x:c>
      <x:c r="C16" s="4" t="str">
        <x:v>C-HR</x:v>
      </x:c>
      <x:c r="D16" s="4" t="n">
        <x:v>2026</x:v>
      </x:c>
      <x:c r="E16" s="4" t="str">
        <x:v>SE AWD</x:v>
      </x:c>
      <x:c r="F16" s="17" t="n">
        <x:f>Evidence!D74+Evidence!D75</x:f>
        <x:v>38595</x:v>
      </x:c>
      <x:c r="G16" s="4" t="n">
        <x:v>74.7</x:v>
      </x:c>
      <x:c r="H16" s="4" t="n">
        <x:v>287</x:v>
      </x:c>
      <x:c r="I16" s="18" t="n">
        <x:f>IF(AND(ISNUMBER(G16),ISNUMBER(H16),G16&gt;0,H16&gt;0),H16/G16,"")</x:f>
        <x:v>3.8420348058902274</x:v>
      </x:c>
      <x:c r="J16" s="20" t="n">
        <x:v>4.9</x:v>
      </x:c>
      <x:c r="K16" s="4" t="n">
        <x:v>150</x:v>
      </x:c>
      <x:c r="L16" s="4"/>
      <x:c r="M16" s="13" t="str">
        <x:v>Required specs sourced. Toyota 0–60 estimate. New San Jose listing.</x:v>
      </x:c>
      <x:c r="N16" s="13" t="str">
        <x:v>Price E69–70 · battery E71 · range E72 · 0–60 E73 · DC E74 · stock E75 · size E76</x:v>
      </x:c>
    </x:row>
    <x:row r="17" ht="62" customHeight="1">
      <x:c r="A17" s="4" t="str">
        <x:v>EV-12</x:v>
      </x:c>
      <x:c r="B17" s="4" t="str">
        <x:v>Honda</x:v>
      </x:c>
      <x:c r="C17" s="13" t="str">
        <x:v>Prologue</x:v>
      </x:c>
      <x:c r="D17" s="4" t="n">
        <x:v>2026</x:v>
      </x:c>
      <x:c r="E17" s="13" t="str">
        <x:v>EX FWD</x:v>
      </x:c>
      <x:c r="F17" s="17" t="n">
        <x:v>41495</x:v>
      </x:c>
      <x:c r="G17" s="4" t="n">
        <x:v>85</x:v>
      </x:c>
      <x:c r="H17" s="4" t="n">
        <x:v>308</x:v>
      </x:c>
      <x:c r="I17" s="18" t="n">
        <x:f>IF(AND(ISNUMBER(G17),ISNUMBER(H17),G17&gt;0,H17&gt;0),H17/G17,"")</x:f>
        <x:v>3.623529411764706</x:v>
      </x:c>
      <x:c r="J17" s="20"/>
      <x:c r="K17" s="4"/>
      <x:c r="L17" s="4"/>
      <x:c r="M17" s="60" t="str">
        <x:v>Provisional. Exact EX FWD 0–60 and peak DC open. New San Jose listing.</x:v>
      </x:c>
      <x:c r="N17" s="13" t="str">
        <x:v>Price E77 · battery E78 · range E79 · stock E80 · charging check E81</x:v>
      </x:c>
    </x:row>
    <x:row r="18" ht="62" customHeight="1">
      <x:c r="A18" s="4" t="str">
        <x:v>EV-13</x:v>
      </x:c>
      <x:c r="B18" s="4" t="str">
        <x:v>Volkswagen</x:v>
      </x:c>
      <x:c r="C18" s="13" t="str">
        <x:v>ID.4</x:v>
      </x:c>
      <x:c r="D18" s="4" t="n">
        <x:v>2026</x:v>
      </x:c>
      <x:c r="E18" s="13" t="str">
        <x:v>Pro RWD</x:v>
      </x:c>
      <x:c r="F18" s="17" t="n">
        <x:v>46570</x:v>
      </x:c>
      <x:c r="G18" s="4" t="n">
        <x:v>82</x:v>
      </x:c>
      <x:c r="H18" s="4" t="n">
        <x:v>291</x:v>
      </x:c>
      <x:c r="I18" s="18" t="n">
        <x:f>IF(AND(ISNUMBER(G18),ISNUMBER(H18),G18&gt;0,H18&gt;0),H18/G18,"")</x:f>
        <x:v>3.548780487804878</x:v>
      </x:c>
      <x:c r="J18" s="20" t="n">
        <x:v>5.9</x:v>
      </x:c>
      <x:c r="K18" s="4" t="n">
        <x:v>175</x:v>
      </x:c>
      <x:c r="L18" s="4"/>
      <x:c r="M18" s="13" t="str">
        <x:v>Required figures sourced. KBB 0–60 figure has unspecified test provenance.</x:v>
      </x:c>
      <x:c r="N18" s="13" t="str">
        <x:v>Price E82 · battery E83 · range E84 · 0–60 E85 · DC E86 · stock E87</x:v>
      </x:c>
    </x:row>
    <x:row r="19" ht="62" customHeight="1">
      <x:c r="A19" s="4" t="str">
        <x:v>EV-14</x:v>
      </x:c>
      <x:c r="B19" s="4" t="str">
        <x:v>Ford</x:v>
      </x:c>
      <x:c r="C19" s="13" t="str">
        <x:v>Mustang Mach-E</x:v>
      </x:c>
      <x:c r="D19" s="4" t="n">
        <x:v>2026</x:v>
      </x:c>
      <x:c r="E19" s="13" t="str">
        <x:v>Premium RWD Extended Range</x:v>
      </x:c>
      <x:c r="F19" s="17" t="n">
        <x:f>SUM(Evidence!D93:D95)</x:f>
        <x:v>47390</x:v>
      </x:c>
      <x:c r="G19" s="4" t="n">
        <x:v>88</x:v>
      </x:c>
      <x:c r="H19" s="4" t="n">
        <x:v>320</x:v>
      </x:c>
      <x:c r="I19" s="18" t="n">
        <x:f>IF(AND(ISNUMBER(G19),ISNUMBER(H19),G19&gt;0,H19&gt;0),H19/G19,"")</x:f>
        <x:v>3.6363636363636362</x:v>
      </x:c>
      <x:c r="J19" s="20" t="n">
        <x:v>5.4</x:v>
      </x:c>
      <x:c r="K19" s="4" t="n">
        <x:v>150</x:v>
      </x:c>
      <x:c r="L19" s="4"/>
      <x:c r="M19" s="13" t="str">
        <x:v>Required figures sourced. Price includes extended battery and freight. New California listing.</x:v>
      </x:c>
      <x:c r="N19" s="13" t="str">
        <x:v>Price E88–90 · battery E91 · range E92 · 0–60 E93 · DC E94 · stock E95</x:v>
      </x:c>
    </x:row>
    <x:row r="20" ht="63" customHeight="1">
      <x:c r="A20" s="4" t="str">
        <x:v>EV-15</x:v>
      </x:c>
      <x:c r="B20" s="4" t="str">
        <x:v>Kia</x:v>
      </x:c>
      <x:c r="C20" s="4" t="str">
        <x:v>EV6</x:v>
      </x:c>
      <x:c r="D20" s="4" t="n">
        <x:v>2026</x:v>
      </x:c>
      <x:c r="E20" s="13" t="str">
        <x:v>Light Long Range RWD</x:v>
      </x:c>
      <x:c r="F20" s="17" t="n">
        <x:f>SUM(Evidence!D101:D102)</x:f>
        <x:v>42745</x:v>
      </x:c>
      <x:c r="G20" s="4" t="n">
        <x:v>84</x:v>
      </x:c>
      <x:c r="H20" s="4" t="n">
        <x:v>319</x:v>
      </x:c>
      <x:c r="I20" s="18" t="n">
        <x:f>IF(AND(ISNUMBER(G20),ISNUMBER(H20),G20&gt;0,H20&gt;0),H20/G20,"")</x:f>
        <x:v>3.7976190476190474</x:v>
      </x:c>
      <x:c r="J20" s="20" t="n">
        <x:v>7.3</x:v>
      </x:c>
      <x:c r="K20" s="4" t="n">
        <x:v>240</x:v>
      </x:c>
      <x:c r="L20" s="4"/>
      <x:c r="M20" s="13" t="str">
        <x:v>Required specs sourced. New U.S. inventory listing found.</x:v>
      </x:c>
      <x:c r="N20" s="13" t="str">
        <x:v>Price E96–97 · battery E98 · range E99 · 0–60 E100 · DC E101 · stock E102</x:v>
      </x:c>
    </x:row>
    <x:row r="21" ht="63" customHeight="1">
      <x:c r="A21" s="4" t="str">
        <x:v>EV-16</x:v>
      </x:c>
      <x:c r="B21" s="4" t="str">
        <x:v>Lexus</x:v>
      </x:c>
      <x:c r="C21" s="4" t="str">
        <x:v>RZ</x:v>
      </x:c>
      <x:c r="D21" s="4" t="n">
        <x:v>2026</x:v>
      </x:c>
      <x:c r="E21" s="13" t="str">
        <x:v>350e FWD (18 in)</x:v>
      </x:c>
      <x:c r="F21" s="17" t="n">
        <x:v>47395</x:v>
      </x:c>
      <x:c r="G21" s="62" t="n">
        <x:v>74.69</x:v>
      </x:c>
      <x:c r="H21" s="4" t="n">
        <x:v>301</x:v>
      </x:c>
      <x:c r="I21" s="18" t="n">
        <x:f>IF(AND(ISNUMBER(G21),ISNUMBER(H21),G21&gt;0,H21&gt;0),H21/G21,"")</x:f>
        <x:v>4.029990627928773</x:v>
      </x:c>
      <x:c r="J21" s="20" t="n">
        <x:v>7.2</x:v>
      </x:c>
      <x:c r="K21" s="4" t="n">
        <x:v>150</x:v>
      </x:c>
      <x:c r="L21" s="4"/>
      <x:c r="M21" s="13" t="str">
        <x:v>Required specs sourced. EPA rating for 18-inch wheels. New U.S. listing found.</x:v>
      </x:c>
      <x:c r="N21" s="13" t="str">
        <x:v>Price E103 · battery E104 · range E105 · 0–60 E106 · DC E107 · stock E108</x:v>
      </x:c>
    </x:row>
    <x:row r="22" ht="60" customHeight="1">
      <x:c r="A22" s="29" t="str">
        <x:v>EV-17</x:v>
      </x:c>
      <x:c r="B22" s="29" t="str">
        <x:v>Subaru</x:v>
      </x:c>
      <x:c r="C22" s="29" t="str">
        <x:v>Solterra</x:v>
      </x:c>
      <x:c r="D22" s="29" t="n">
        <x:v>2026</x:v>
      </x:c>
      <x:c r="E22" s="29" t="str">
        <x:v>Premium AWD</x:v>
      </x:c>
      <x:c r="F22" s="63" t="n">
        <x:f>Evidence!D126</x:f>
        <x:v>39945</x:v>
      </x:c>
      <x:c r="G22" t="n">
        <x:f>Evidence!D127</x:f>
        <x:v>74.7</x:v>
      </x:c>
      <x:c r="H22" t="n">
        <x:f>Evidence!D128</x:f>
        <x:v>288</x:v>
      </x:c>
      <x:c r="I22" s="71" t="n">
        <x:f>IF(AND(ISNUMBER(G22),ISNUMBER(H22),G22&gt;0,H22&gt;0),H22/G22,"")</x:f>
        <x:v>3.855421686746988</x:v>
      </x:c>
      <x:c r="J22" s="72" t="n">
        <x:f>Evidence!D129</x:f>
        <x:v>5.9</x:v>
      </x:c>
      <x:c r="K22" t="n">
        <x:f>Evidence!D130</x:f>
        <x:v>150</x:v>
      </x:c>
      <x:c r="M22" s="68" t="str">
        <x:v>0–60 is Car and Driver’s estimate for the base powertrain. New Bay Area listing.</x:v>
      </x:c>
      <x:c r="N22" s="29" t="str">
        <x:v>Price E121 · battery E122 · range E123 · 0–60 E124 · DC E125 · stock E126 · group E134</x:v>
      </x:c>
    </x:row>
    <x:row r="23" ht="60" customHeight="1">
      <x:c r="A23" s="29" t="str">
        <x:v>EV-18</x:v>
      </x:c>
      <x:c r="B23" s="29" t="str">
        <x:v>Mercedes-Benz</x:v>
      </x:c>
      <x:c r="C23" s="29" t="str">
        <x:v>Electric CLA</x:v>
      </x:c>
      <x:c r="D23" s="29" t="n">
        <x:v>2027</x:v>
      </x:c>
      <x:c r="E23" s="29" t="str">
        <x:v>250+ RWD</x:v>
      </x:c>
      <x:c r="F23" s="63" t="n">
        <x:f>SUM(Evidence!D132:D133)</x:f>
        <x:v>49400</x:v>
      </x:c>
      <x:c r="G23" t="n">
        <x:f>Evidence!D134</x:f>
        <x:v>85</x:v>
      </x:c>
      <x:c r="H23" t="n">
        <x:f>Evidence!D135</x:f>
        <x:v>374</x:v>
      </x:c>
      <x:c r="I23" s="71" t="n">
        <x:f>IF(AND(ISNUMBER(G23),ISNUMBER(H23),G23&gt;0,H23&gt;0),H23/G23,"")</x:f>
        <x:v>4.4</x:v>
      </x:c>
      <x:c r="J23" s="72" t="n">
        <x:f>Evidence!D136</x:f>
        <x:v>6.6</x:v>
      </x:c>
      <x:c r="K23" t="n">
        <x:f>Evidence!D137</x:f>
        <x:v>320</x:v>
      </x:c>
      <x:c r="M23" s="68" t="str">
        <x:v>Mercedes-Benz estimates 0–60. Compact sedan with San Jose listing.</x:v>
      </x:c>
      <x:c r="N23" s="29" t="str">
        <x:v>Price E127–E128 · battery E129 · range E130 · 0–60 E131 · DC E132 · stock E133 · size E136</x:v>
      </x:c>
    </x:row>
    <x:row r="25" ht="30" customHeight="1">
      <x:c r="A25" s="256" t="str">
        <x:v>Extra credit  |  Chinese EVs at Latin American prices</x:v>
      </x:c>
      <x:c r="B25" s="256"/>
      <x:c r="C25" s="256"/>
      <x:c r="D25" s="256"/>
      <x:c r="E25" s="256"/>
      <x:c r="F25" s="256"/>
      <x:c r="G25" s="256"/>
      <x:c r="H25" s="256"/>
      <x:c r="I25" s="256"/>
      <x:c r="J25" s="256"/>
      <x:c r="K25" s="256"/>
      <x:c r="L25" s="256"/>
      <x:c r="M25" s="256"/>
      <x:c r="N25" s="256"/>
    </x:row>
    <x:row r="26" ht="32" customHeight="1">
      <x:c r="A26" s="29" t="str">
        <x:v>Hypothetical U.S. sale. Prices below are converted published sticker prices before U.S. rebates. Regional comparisons are on Extra Credit - Chinese EVs. Detailed country calculations are on Evidence.</x:v>
      </x:c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</x:row>
    <x:row r="27" ht="44" customHeight="1">
      <x:c r="A27" s="12" t="str">
        <x:v>Vehicle ID</x:v>
      </x:c>
      <x:c r="B27" s="12" t="str">
        <x:v>Manufacturer</x:v>
      </x:c>
      <x:c r="C27" s="12" t="str">
        <x:v>Model</x:v>
      </x:c>
      <x:c r="D27" s="12" t="str">
        <x:v>Model year</x:v>
      </x:c>
      <x:c r="E27" s="12" t="str">
        <x:v>Trim / drive</x:v>
      </x:c>
      <x:c r="F27" s="12" t="str">
        <x:v>Sticker USD</x:v>
      </x:c>
      <x:c r="G27" s="12" t="str">
        <x:v>Battery (kWh)</x:v>
      </x:c>
      <x:c r="H27" s="12" t="str">
        <x:v>Rated range (mi)</x:v>
      </x:c>
      <x:c r="I27" s="12" t="str">
        <x:v>Range / battery (mi/kWh)</x:v>
      </x:c>
      <x:c r="J27" s="12" t="str">
        <x:v>0–100 km/h (s)</x:v>
      </x:c>
      <x:c r="K27" s="12" t="str">
        <x:v>Peak DC (kW)</x:v>
      </x:c>
      <x:c r="L27" s="12" t="str">
        <x:v>DC charge window</x:v>
      </x:c>
      <x:c r="M27" s="12" t="str">
        <x:v>Market and test basis</x:v>
      </x:c>
      <x:c r="N27" s="12" t="str">
        <x:v>Evidence IDs</x:v>
      </x:c>
    </x:row>
    <x:row r="28" ht="65" customHeight="1">
      <x:c r="A28" s="13" t="str">
        <x:v>XC-01</x:v>
      </x:c>
      <x:c r="B28" s="13" t="str">
        <x:v>MG (SAIC)</x:v>
      </x:c>
      <x:c r="C28" s="13" t="str">
        <x:v>MG4</x:v>
      </x:c>
      <x:c r="D28" s="13" t="n">
        <x:v>2025</x:v>
      </x:c>
      <x:c r="E28" s="13" t="str">
        <x:v>Extended Range AT</x:v>
      </x:c>
      <x:c r="F28" s="257" t="n">
        <x:f>'Evidence'!M327</x:f>
        <x:v>32541.26435368988</x:v>
      </x:c>
      <x:c r="G28" s="261" t="n">
        <x:f>'Evidence'!M314</x:f>
        <x:v>77</x:v>
      </x:c>
      <x:c r="H28" s="260" t="n">
        <x:f>'Evidence'!M317</x:f>
        <x:v>323.11301996341365</x:v>
      </x:c>
      <x:c r="I28" s="258" t="n">
        <x:f>'Evidence'!M318</x:f>
        <x:v>4.196272986537839</x:v>
      </x:c>
      <x:c r="J28" s="259" t="n">
        <x:f>'Evidence'!M319</x:f>
        <x:v>6.5</x:v>
      </x:c>
      <x:c r="K28" s="13" t="n">
        <x:f>'Evidence'!M321</x:f>
        <x:v>144</x:v>
      </x:c>
      <x:c r="L28" s="13" t="str">
        <x:f>'Evidence'!M322</x:f>
        <x:v>38 min · 10–80%</x:v>
      </x:c>
      <x:c r="M28" s="15" t="str">
        <x:v>Mexico sticker. WLTP. Advertised MY2025 misses the current MyFirstEV model-year rule.</x:v>
      </x:c>
      <x:c r="N28" s="13" t="str">
        <x:v>X01–X05 · S03/S21/S22</x:v>
      </x:c>
    </x:row>
    <x:row r="29" ht="65" customHeight="1">
      <x:c r="A29" s="13" t="str">
        <x:v>XC-02</x:v>
      </x:c>
      <x:c r="B29" s="13" t="str">
        <x:v>Geely</x:v>
      </x:c>
      <x:c r="C29" s="13" t="str">
        <x:v>EX5</x:v>
      </x:c>
      <x:c r="D29" s="13" t="n">
        <x:v>2026</x:v>
      </x:c>
      <x:c r="E29" s="13" t="str">
        <x:v>GF FWD</x:v>
      </x:c>
      <x:c r="F29" s="257" t="n">
        <x:f>'Evidence'!N327</x:f>
        <x:v>37398.408737516496</x:v>
      </x:c>
      <x:c r="G29" s="261" t="n">
        <x:f>'Evidence'!N314</x:f>
        <x:v>60.22</x:v>
      </x:c>
      <x:c r="H29" s="260" t="n">
        <x:f>'Evidence'!N317</x:f>
        <x:v>292.04446035154695</x:v>
      </x:c>
      <x:c r="I29" s="258" t="n">
        <x:f>'Evidence'!N318</x:f>
        <x:v>4.84962571158331</x:v>
      </x:c>
      <x:c r="J29" s="260" t="n">
        <x:f>'Evidence'!N319</x:f>
        <x:v>7.1</x:v>
      </x:c>
      <x:c r="K29" s="13" t="n">
        <x:f>'Evidence'!N321</x:f>
        <x:v>100</x:v>
      </x:c>
      <x:c r="L29" s="13" t="str">
        <x:f>'Evidence'!N322</x:f>
        <x:v>20 min · 30–80%</x:v>
      </x:c>
      <x:c r="M29" s="13" t="str">
        <x:v>Mexico sticker. NEDC. Peak DC is the 60.22-kWh Australian reference.</x:v>
      </x:c>
      <x:c r="N29" s="13" t="str">
        <x:v>X01/X06–X09 · S05/S07/S09/S11</x:v>
      </x:c>
    </x:row>
    <x:row r="30" ht="65" customHeight="1">
      <x:c r="A30" s="13" t="str">
        <x:v>XC-03</x:v>
      </x:c>
      <x:c r="B30" s="13" t="str">
        <x:v>BYD</x:v>
      </x:c>
      <x:c r="C30" s="13" t="str">
        <x:v>Yuan Plus</x:v>
      </x:c>
      <x:c r="D30" s="13" t="str">
        <x:v>—</x:v>
      </x:c>
      <x:c r="E30" s="13" t="str">
        <x:v>480 km EV FWD</x:v>
      </x:c>
      <x:c r="F30" s="257" t="n">
        <x:f>'Evidence'!O327</x:f>
        <x:v>42693.7113605882</x:v>
      </x:c>
      <x:c r="G30" s="261" t="n">
        <x:f>'Evidence'!O314</x:f>
        <x:v>60.48</x:v>
      </x:c>
      <x:c r="H30" s="260" t="n">
        <x:f>'Evidence'!O317</x:f>
        <x:v>298.2581722739203</x:v>
      </x:c>
      <x:c r="I30" s="258" t="n">
        <x:f>'Evidence'!O318</x:f>
        <x:v>4.931517398709</x:v>
      </x:c>
      <x:c r="J30" s="259" t="n">
        <x:f>'Evidence'!O319</x:f>
        <x:v>7.3</x:v>
      </x:c>
      <x:c r="K30" s="13" t="n">
        <x:f>'Evidence'!O321</x:f>
        <x:v>80</x:v>
      </x:c>
      <x:c r="L30" s="13" t="str">
        <x:f>'Evidence'!O322</x:f>
        <x:v>30 min · 30–80%</x:v>
      </x:c>
      <x:c r="M30" s="15" t="str">
        <x:v>Mexico sticker. NEDC. The matched Chilean GS is model year 2027.</x:v>
      </x:c>
      <x:c r="N30" s="13" t="str">
        <x:v>X01/X10–X13 · S12–S14/S21/S23</x:v>
      </x:c>
    </x:row>
    <x:row r="31" ht="65" customHeight="1">
      <x:c r="A31" s="13" t="str">
        <x:v>XC-04</x:v>
      </x:c>
      <x:c r="B31" s="13" t="str">
        <x:v>MG (SAIC)</x:v>
      </x:c>
      <x:c r="C31" s="13" t="str">
        <x:v>MG4</x:v>
      </x:c>
      <x:c r="D31" s="13" t="str">
        <x:v>—</x:v>
      </x:c>
      <x:c r="E31" s="13" t="str">
        <x:v>Standard · 51 kWh</x:v>
      </x:c>
      <x:c r="F31" s="257" t="n">
        <x:f>'Evidence'!N382</x:f>
        <x:v>27797.804189754257</x:v>
      </x:c>
      <x:c r="G31" s="261" t="n">
        <x:f>'Evidence'!M382</x:f>
        <x:v>51</x:v>
      </x:c>
      <x:c r="H31" s="260" t="n">
        <x:f>350/1.609344</x:f>
        <x:v>217.47991728306687</x:v>
      </x:c>
      <x:c r="I31" s="258" t="n">
        <x:f>H31/G31</x:f>
        <x:v>4.264312103589546</x:v>
      </x:c>
      <x:c r="J31" s="260" t="n">
        <x:v>7.7</x:v>
      </x:c>
      <x:c r="K31" s="15" t="n">
        <x:v>88</x:v>
      </x:c>
      <x:c r="L31" s="13" t="str">
        <x:v>37 min · 10–80%</x:v>
      </x:c>
      <x:c r="M31" s="15" t="str">
        <x:v>Chile sticker. WLTP. Separate lower-range trim sensitivity.</x:v>
      </x:c>
      <x:c r="N31" s="13" t="str">
        <x:v>X04 · S01/S21/S22/S24</x:v>
      </x:c>
    </x:row>
  </x:sheetData>
  <x:mergeCells>
    <x:mergeCell ref="A25:N25"/>
    <x:mergeCell ref="A26:N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.630000114440918" hidden="0" customWidth="1"/>
    <x:col min="2" max="2" width="10.75" hidden="0" customWidth="1"/>
    <x:col min="3" max="3" width="13.75" hidden="0" customWidth="1"/>
    <x:col min="4" max="4" width="10.25" hidden="0" customWidth="1"/>
    <x:col min="5" max="5" width="7.25" hidden="0" customWidth="1"/>
    <x:col min="6" max="6" width="27.75" hidden="0" customWidth="1"/>
    <x:col min="7" max="7" width="34" hidden="0" customWidth="1"/>
    <x:col min="8" max="8" width="12.880000114440918" hidden="0" customWidth="1"/>
    <x:col min="9" max="9" width="41.880001068115234" hidden="0" customWidth="1"/>
    <x:col min="10" max="10" width="35.630001068115234" hidden="0" customWidth="1"/>
    <x:col min="12" max="12" width="27.5" hidden="0" customWidth="1"/>
    <x:col min="13" max="13" width="18.75" hidden="0" customWidth="1"/>
    <x:col min="14" max="14" width="18.75" hidden="0" customWidth="1"/>
    <x:col min="15" max="15" width="18.75" hidden="0" customWidth="1"/>
    <x:col min="16" max="16" width="15.630000114440918" hidden="0" customWidth="1"/>
    <x:col min="17" max="17" width="13.75" hidden="0" customWidth="1"/>
    <x:col min="18" max="18" width="15.630000114440918" hidden="0" customWidth="1"/>
    <x:col min="19" max="19" width="15.630000114440918" hidden="0" customWidth="1"/>
    <x:col min="20" max="20" width="38.75" hidden="0" customWidth="1"/>
  </x:cols>
  <x:sheetData>
    <x:row r="2" ht="27" customHeight="1">
      <x:c r="A2" s="6" t="str">
        <x:v>Part 1   Evidence register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7" t="str">
        <x:v>Use one row per figure or claim. Keep the source locator and the exact configuration with the value.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33" customHeight="1">
      <x:c r="A5" s="12" t="str">
        <x:v>Evidence ID</x:v>
      </x:c>
      <x:c r="B5" s="12" t="str">
        <x:v>Vehicle ID</x:v>
      </x:c>
      <x:c r="C5" s="12" t="str">
        <x:v>Field</x:v>
      </x:c>
      <x:c r="D5" s="12" t="str">
        <x:v>Source value</x:v>
      </x:c>
      <x:c r="E5" s="12" t="str">
        <x:v>Unit</x:v>
      </x:c>
      <x:c r="F5" s="12" t="str">
        <x:v>Publisher / title</x:v>
      </x:c>
      <x:c r="G5" s="12" t="str">
        <x:v>Locator</x:v>
      </x:c>
      <x:c r="H5" s="12" t="str">
        <x:v>Access date</x:v>
      </x:c>
      <x:c r="I5" s="12" t="str">
        <x:v>Source URL</x:v>
      </x:c>
      <x:c r="J5" s="12" t="str">
        <x:v>Basis / open check</x:v>
      </x:c>
    </x:row>
    <x:row r="6" ht="38" customHeight="1">
      <x:c r="A6" s="4" t="str">
        <x:v>E01</x:v>
      </x:c>
      <x:c r="B6" s="4" t="str">
        <x:v>EV-01</x:v>
      </x:c>
      <x:c r="C6" s="4" t="str">
        <x:v>List price</x:v>
      </x:c>
      <x:c r="D6" s="4" t="n">
        <x:v>34995</x:v>
      </x:c>
      <x:c r="E6" s="4" t="str">
        <x:v>USD</x:v>
      </x:c>
      <x:c r="F6" s="13" t="str">
        <x:v>Chevrolet · 2026 Equinox EV</x:v>
      </x:c>
      <x:c r="G6" s="13" t="str">
        <x:v>Equinox EV vs. the competition → 2026 LT 1 FWD → Starting MSRP</x:v>
      </x:c>
      <x:c r="H6" s="22" t="n">
        <x:v>46331</x:v>
      </x:c>
      <x:c r="I6" s="13" t="str">
        <x:v>https://www.chevrolet.com/electric/previous-year/equinox-ev</x:v>
      </x:c>
      <x:c r="J6" s="13" t="str">
        <x:v>Starting MSRP as displayed. Confirm fee basis before ranking.</x:v>
      </x:c>
    </x:row>
    <x:row r="7" ht="38" customHeight="1">
      <x:c r="A7" s="4" t="str">
        <x:v>E02</x:v>
      </x:c>
      <x:c r="B7" s="4" t="str">
        <x:v>EV-01</x:v>
      </x:c>
      <x:c r="C7" s="4" t="str">
        <x:v>Battery</x:v>
      </x:c>
      <x:c r="D7" s="4" t="n">
        <x:v>85</x:v>
      </x:c>
      <x:c r="E7" s="4" t="str">
        <x:v>kWh</x:v>
      </x:c>
      <x:c r="F7" s="13" t="str">
        <x:v>Chevrolet · 2026 Equinox EV</x:v>
      </x:c>
      <x:c r="G7" s="13" t="str">
        <x:v>FAQs → battery-size answer; look for 85 kWh</x:v>
      </x:c>
      <x:c r="H7" s="22" t="n">
        <x:v>46331</x:v>
      </x:c>
      <x:c r="I7" s="13" t="str">
        <x:v>https://www.chevrolet.com/electric/previous-year/equinox-ev</x:v>
      </x:c>
      <x:c r="J7" s="13" t="str">
        <x:v>Manufacturer pack figure. Gross or usable basis unspecified.</x:v>
      </x:c>
    </x:row>
    <x:row r="8" ht="38" customHeight="1">
      <x:c r="A8" s="4" t="str">
        <x:v>E03</x:v>
      </x:c>
      <x:c r="B8" s="4" t="str">
        <x:v>EV-01</x:v>
      </x:c>
      <x:c r="C8" s="4" t="str">
        <x:v>EPA range</x:v>
      </x:c>
      <x:c r="D8" s="4" t="n">
        <x:v>319</x:v>
      </x:c>
      <x:c r="E8" s="4" t="str">
        <x:v>mi</x:v>
      </x:c>
      <x:c r="F8" s="13" t="str">
        <x:v>Chevrolet · 2026 Equinox EV</x:v>
      </x:c>
      <x:c r="G8" s="13" t="str">
        <x:v>Equinox EV vs. the competition → 2026 LT 1 FWD → Electric range</x:v>
      </x:c>
      <x:c r="H8" s="22" t="n">
        <x:v>46331</x:v>
      </x:c>
      <x:c r="I8" s="13" t="str">
        <x:v>https://www.chevrolet.com/electric/previous-year/equinox-ev</x:v>
      </x:c>
      <x:c r="J8" s="13" t="str">
        <x:v>EPA estimate as reported by Chevrolet. Cross-check EPA listing.</x:v>
      </x:c>
    </x:row>
    <x:row r="9" ht="38" customHeight="1">
      <x:c r="A9" s="4" t="str">
        <x:v>E04</x:v>
      </x:c>
      <x:c r="B9" s="4" t="str">
        <x:v>EV-01</x:v>
      </x:c>
      <x:c r="C9" s="4" t="str">
        <x:v>Peak DC</x:v>
      </x:c>
      <x:c r="D9" s="4" t="n">
        <x:v>150</x:v>
      </x:c>
      <x:c r="E9" s="4" t="str">
        <x:v>kW</x:v>
      </x:c>
      <x:c r="F9" s="13" t="str">
        <x:v>Chevrolet · 2026 Equinox EV</x:v>
      </x:c>
      <x:c r="G9" s="13" t="str">
        <x:v>FAQs → battery-size answer; look for 150 kW</x:v>
      </x:c>
      <x:c r="H9" s="22" t="n">
        <x:v>46331</x:v>
      </x:c>
      <x:c r="I9" s="13" t="str">
        <x:v>https://www.chevrolet.com/electric/previous-year/equinox-ev</x:v>
      </x:c>
      <x:c r="J9" s="13" t="str">
        <x:v>Manufacturer maximum for public DC charging.</x:v>
      </x:c>
    </x:row>
    <x:row r="10" ht="53" customHeight="1">
      <x:c r="A10" s="4" t="str">
        <x:v>E05</x:v>
      </x:c>
      <x:c r="B10" s="4" t="str">
        <x:v>EV-02</x:v>
      </x:c>
      <x:c r="C10" s="4" t="str">
        <x:v>List price</x:v>
      </x:c>
      <x:c r="D10" s="4" t="n">
        <x:v>28995</x:v>
      </x:c>
      <x:c r="E10" s="4" t="str">
        <x:v>USD</x:v>
      </x:c>
      <x:c r="F10" s="13" t="str">
        <x:v>Chevrolet · Introducing the 2027 Chevrolet Bolt</x:v>
      </x:c>
      <x:c r="G10" s="13" t="str">
        <x:v>Opening announcement → lower-priced LT</x:v>
      </x:c>
      <x:c r="H10" s="22" t="n">
        <x:v>46331</x:v>
      </x:c>
      <x:c r="I10" s="13" t="str">
        <x:v>https://news.chevrolet.com/newsroom.detail.html/Pages/news/us/en/2025/oct/1009-2027-Chevrolet-Bolt.html</x:v>
      </x:c>
      <x:c r="J10" s="13" t="str">
        <x:v>Includes $1,395 destination freight.</x:v>
      </x:c>
    </x:row>
    <x:row r="11" ht="53" customHeight="1">
      <x:c r="A11" t="str">
        <x:v>E06</x:v>
      </x:c>
      <x:c r="B11" t="str">
        <x:v>EV-02</x:v>
      </x:c>
      <x:c r="C11" t="str">
        <x:v>Battery</x:v>
      </x:c>
      <x:c r="D11" t="n">
        <x:v>65</x:v>
      </x:c>
      <x:c r="E11" t="str">
        <x:v>kWh</x:v>
      </x:c>
      <x:c r="F11" s="29" t="str">
        <x:v>Chevrolet · Introducing the 2027 Chevrolet Bolt</x:v>
      </x:c>
      <x:c r="G11" s="29" t="str">
        <x:v>2027 Chevrolet Bolt Specifications → Battery System → Battery Rated Energy</x:v>
      </x:c>
      <x:c r="H11" s="30" t="n">
        <x:v>46331</x:v>
      </x:c>
      <x:c r="I11" s="29" t="str">
        <x:v>https://news.chevrolet.com/newsroom.detail.html/Pages/news/us/en/2025/oct/1009-2027-Chevrolet-Bolt.html</x:v>
      </x:c>
      <x:c r="J11" s="29" t="str">
        <x:v>GM calls this rated energy. Usable basis unspecified.</x:v>
      </x:c>
    </x:row>
    <x:row r="12" ht="53" customHeight="1">
      <x:c r="A12" t="str">
        <x:v>E07</x:v>
      </x:c>
      <x:c r="B12" t="str">
        <x:v>EV-02</x:v>
      </x:c>
      <x:c r="C12" t="str">
        <x:v>EPA range</x:v>
      </x:c>
      <x:c r="D12" t="n">
        <x:v>262</x:v>
      </x:c>
      <x:c r="E12" t="str">
        <x:v>mi</x:v>
      </x:c>
      <x:c r="F12" s="29" t="str">
        <x:v>Chevrolet · Introducing the 2027 Chevrolet Bolt</x:v>
      </x:c>
      <x:c r="G12" s="29" t="str">
        <x:v>2027 Chevrolet Bolt Specifications → Efficiency → EPA-estimated driving range</x:v>
      </x:c>
      <x:c r="H12" s="30" t="n">
        <x:v>46331</x:v>
      </x:c>
      <x:c r="I12" s="29" t="str">
        <x:v>https://news.chevrolet.com/newsroom.detail.html/Pages/news/us/en/2025/oct/1009-2027-Chevrolet-Bolt.html</x:v>
      </x:c>
      <x:c r="J12" s="29" t="str">
        <x:v>Chevrolet publishes a single range for the model.</x:v>
      </x:c>
    </x:row>
    <x:row r="13" ht="53" customHeight="1">
      <x:c r="A13" t="str">
        <x:v>E08</x:v>
      </x:c>
      <x:c r="B13" t="str">
        <x:v>EV-02</x:v>
      </x:c>
      <x:c r="C13" t="str">
        <x:v>0–60 mph</x:v>
      </x:c>
      <x:c r="D13" t="n">
        <x:v>7.1</x:v>
      </x:c>
      <x:c r="E13" t="str">
        <x:v>s</x:v>
      </x:c>
      <x:c r="F13" s="29" t="str">
        <x:v>Edmunds · 2027 Chevy Bolt Long-Term Road Test</x:v>
      </x:c>
      <x:c r="G13" s="29" t="str">
        <x:v>2027 Chevrolet Bolt LT | Edmunds test results → Driveline and 0–60 mph</x:v>
      </x:c>
      <x:c r="H13" s="30" t="n">
        <x:v>46331</x:v>
      </x:c>
      <x:c r="I13" s="29" t="str">
        <x:v>https://www.edmunds.com/car-news/long-term/2027-chevrolet-bolt.html</x:v>
      </x:c>
      <x:c r="J13" s="29" t="str">
        <x:v>Instrumented LT FWD result.</x:v>
      </x:c>
    </x:row>
    <x:row r="14" ht="53" customHeight="1">
      <x:c r="A14" t="str">
        <x:v>E09</x:v>
      </x:c>
      <x:c r="B14" t="str">
        <x:v>EV-02</x:v>
      </x:c>
      <x:c r="C14" t="str">
        <x:v>Peak DC</x:v>
      </x:c>
      <x:c r="D14" t="n">
        <x:v>150</x:v>
      </x:c>
      <x:c r="E14" t="str">
        <x:v>kW</x:v>
      </x:c>
      <x:c r="F14" s="29" t="str">
        <x:v>Chevrolet · The Chevy Bolt is back</x:v>
      </x:c>
      <x:c r="G14" s="29" t="str">
        <x:v>Improved charging</x:v>
      </x:c>
      <x:c r="H14" s="30" t="n">
        <x:v>46331</x:v>
      </x:c>
      <x:c r="I14" s="29" t="str">
        <x:v>https://news.chevrolet.com/newsroom.detail.html/Pages/topic/us/en/2026/apr/0422-Chevrolet-Bolt.html</x:v>
      </x:c>
      <x:c r="J14" s="29" t="str">
        <x:v>Manufacturer-rated peak.</x:v>
      </x:c>
    </x:row>
    <x:row r="15" ht="53" customHeight="1">
      <x:c r="A15" t="str">
        <x:v>E10</x:v>
      </x:c>
      <x:c r="B15" t="str">
        <x:v>EV-02</x:v>
      </x:c>
      <x:c r="C15" t="str">
        <x:v>New availability</x:v>
      </x:c>
      <x:c r="D15" t="str">
        <x:v>Listed</x:v>
      </x:c>
      <x:c r="E15"/>
      <x:c r="F15" s="29" t="str">
        <x:v>Chevrolet · Work Truck Locator</x:v>
      </x:c>
      <x:c r="G15" s="29" t="str">
        <x:v>New 2027 Bolt EV LT · stock VF112087</x:v>
      </x:c>
      <x:c r="H15" s="30" t="n">
        <x:v>46331</x:v>
      </x:c>
      <x:c r="I15" s="29" t="str">
        <x:v>https://locatechevroletworktrucks.com/work-vehicle/san-jose-ca/new-2027-chevrolet-bolt-ev-lt-22875729</x:v>
      </x:c>
      <x:c r="J15" s="29" t="str">
        <x:v>San Jose listing shows $28,995 MSRP. Inventory can change.</x:v>
      </x:c>
    </x:row>
    <x:row r="16" ht="53" customHeight="1">
      <x:c r="A16" t="str">
        <x:v>E11</x:v>
      </x:c>
      <x:c r="B16" t="str">
        <x:v>EV-02</x:v>
      </x:c>
      <x:c r="C16" t="str">
        <x:v>Size screen</x:v>
      </x:c>
      <x:c r="D16" t="n">
        <x:v>16.2</x:v>
      </x:c>
      <x:c r="E16" t="str">
        <x:v>ft³</x:v>
      </x:c>
      <x:c r="F16" s="29" t="str">
        <x:v>Chevrolet · Introducing the 2027 Chevrolet Bolt</x:v>
      </x:c>
      <x:c r="G16" s="29" t="str">
        <x:v>2027 Chevrolet Bolt Specifications → Dimensions → Overall Length and Cargo Volume</x:v>
      </x:c>
      <x:c r="H16" s="30" t="n">
        <x:v>46331</x:v>
      </x:c>
      <x:c r="I16" s="29" t="str">
        <x:v>https://news.chevrolet.com/newsroom.detail.html/Pages/news/us/en/2025/oct/1009-2027-Chevrolet-Bolt.html</x:v>
      </x:c>
      <x:c r="J16" s="29" t="str">
        <x:v>169.6 in long. Cargo behind rear seat.</x:v>
      </x:c>
    </x:row>
    <x:row r="17" ht="53" customHeight="1">
      <x:c r="A17" t="str">
        <x:v>E12</x:v>
      </x:c>
      <x:c r="B17" t="str">
        <x:v>EV-03</x:v>
      </x:c>
      <x:c r="C17" t="str">
        <x:v>Base MSRP</x:v>
      </x:c>
      <x:c r="D17" t="n">
        <x:v>29990</x:v>
      </x:c>
      <x:c r="E17" t="str">
        <x:v>USD</x:v>
      </x:c>
      <x:c r="F17" s="29" t="str">
        <x:v>Nissan · 2026 LEAF Specs &amp; Trims</x:v>
      </x:c>
      <x:c r="G17" s="29" t="str">
        <x:v>S+ FWD → Pricing → Starting From</x:v>
      </x:c>
      <x:c r="H17" s="30" t="n">
        <x:v>46331</x:v>
      </x:c>
      <x:c r="I17" s="29" t="str">
        <x:v>https://www.nissanusa.com/vehicles/electric-cars/leaf/specs-trims.html?compare=17116&amp;language=en</x:v>
      </x:c>
      <x:c r="J17" s="29" t="str">
        <x:v>Destination is listed separately.</x:v>
      </x:c>
    </x:row>
    <x:row r="18" ht="53" customHeight="1">
      <x:c r="A18" t="str">
        <x:v>E13</x:v>
      </x:c>
      <x:c r="B18" t="str">
        <x:v>EV-03</x:v>
      </x:c>
      <x:c r="C18" t="str">
        <x:v>Destination</x:v>
      </x:c>
      <x:c r="D18" t="n">
        <x:v>1545</x:v>
      </x:c>
      <x:c r="E18" t="str">
        <x:v>USD</x:v>
      </x:c>
      <x:c r="F18" s="29" t="str">
        <x:v>Nissan · 2026 LEAF Specs &amp; Trims</x:v>
      </x:c>
      <x:c r="G18" s="29" t="str">
        <x:v>S+ FWD → Pricing → Destination Charge</x:v>
      </x:c>
      <x:c r="H18" s="30" t="n">
        <x:v>46331</x:v>
      </x:c>
      <x:c r="I18" s="29" t="str">
        <x:v>https://www.nissanusa.com/vehicles/electric-cars/leaf/specs-trims.html?compare=17116&amp;language=en</x:v>
      </x:c>
      <x:c r="J18" s="29" t="str">
        <x:v>Added to base MSRP for the comparison.</x:v>
      </x:c>
    </x:row>
    <x:row r="19" ht="53" customHeight="1">
      <x:c r="A19" t="str">
        <x:v>E14</x:v>
      </x:c>
      <x:c r="B19" t="str">
        <x:v>EV-03</x:v>
      </x:c>
      <x:c r="C19" t="str">
        <x:v>Battery</x:v>
      </x:c>
      <x:c r="D19" t="n">
        <x:v>75</x:v>
      </x:c>
      <x:c r="E19" t="str">
        <x:v>kWh</x:v>
      </x:c>
      <x:c r="F19" s="29" t="str">
        <x:v>Nissan · 2026 LEAF Specs &amp; Trims</x:v>
      </x:c>
      <x:c r="G19" s="29" t="str">
        <x:v>S+ FWD → Electric Vehicles → Usage/Net Battery Capacity</x:v>
      </x:c>
      <x:c r="H19" s="30" t="n">
        <x:v>46331</x:v>
      </x:c>
      <x:c r="I19" s="29" t="str">
        <x:v>https://www.nissanusa.com/vehicles/electric-cars/leaf/specs-trims.html?compare=17116&amp;language=en</x:v>
      </x:c>
      <x:c r="J19" s="29" t="str">
        <x:v>Net capacity as labeled by Nissan.</x:v>
      </x:c>
    </x:row>
    <x:row r="20" ht="53" customHeight="1">
      <x:c r="A20" t="str">
        <x:v>E15</x:v>
      </x:c>
      <x:c r="B20" t="str">
        <x:v>EV-03</x:v>
      </x:c>
      <x:c r="C20" t="str">
        <x:v>EPA range</x:v>
      </x:c>
      <x:c r="D20" t="n">
        <x:v>303</x:v>
      </x:c>
      <x:c r="E20" t="str">
        <x:v>mi</x:v>
      </x:c>
      <x:c r="F20" s="29" t="str">
        <x:v>Nissan · 2026 LEAF brochure</x:v>
      </x:c>
      <x:c r="G20" s="29" t="str">
        <x:v>2026 EPA Range and Fuel Economy Estimates → S+ / SV+ / PLT+</x:v>
      </x:c>
      <x:c r="H20" s="30" t="n">
        <x:v>46331</x:v>
      </x:c>
      <x:c r="I20" s="29" t="str">
        <x:v>https://www.nissanusa.com/content/dam/Nissan/us/vehicle-brochures/2026/2026-nissan-nissan-leaf-brochure-en.pdf</x:v>
      </x:c>
      <x:c r="J20" s="29" t="str">
        <x:v>S+ 303 mi. SV+ 288 mi. Platinum+ 259 mi.</x:v>
      </x:c>
    </x:row>
    <x:row r="21" ht="53" customHeight="1">
      <x:c r="A21" t="str">
        <x:v>E16</x:v>
      </x:c>
      <x:c r="B21" t="str">
        <x:v>EV-03</x:v>
      </x:c>
      <x:c r="C21" t="str">
        <x:v>Peak DC</x:v>
      </x:c>
      <x:c r="D21" t="n">
        <x:v>150</x:v>
      </x:c>
      <x:c r="E21" t="str">
        <x:v>kW</x:v>
      </x:c>
      <x:c r="F21" s="29" t="str">
        <x:v>Nissan · 2026 LEAF brochure</x:v>
      </x:c>
      <x:c r="G21" s="29" t="str">
        <x:v>Choose Your Trim Level → S+ → DC quick charge port</x:v>
      </x:c>
      <x:c r="H21" s="30" t="n">
        <x:v>46331</x:v>
      </x:c>
      <x:c r="I21" s="29" t="str">
        <x:v>https://www.nissanusa.com/content/dam/Nissan/us/vehicle-brochures/2026/2026-nissan-nissan-leaf-brochure-en.pdf</x:v>
      </x:c>
      <x:c r="J21" s="29" t="str">
        <x:v>Manufacturer-rated peak.</x:v>
      </x:c>
    </x:row>
    <x:row r="22" ht="53" customHeight="1">
      <x:c r="A22" t="str">
        <x:v>E17</x:v>
      </x:c>
      <x:c r="B22" t="str">
        <x:v>EV-03</x:v>
      </x:c>
      <x:c r="C22" t="str">
        <x:v>New availability</x:v>
      </x:c>
      <x:c r="D22" t="str">
        <x:v>Listed</x:v>
      </x:c>
      <x:c r="E22"/>
      <x:c r="F22" s="29" t="str">
        <x:v>Capitol Nissan · New LEAF Inventory</x:v>
      </x:c>
      <x:c r="G22" s="29" t="str">
        <x:v>2026 Nissan LEAF S+ · stock YR74419</x:v>
      </x:c>
      <x:c r="H22" s="30" t="n">
        <x:v>46331</x:v>
      </x:c>
      <x:c r="I22" s="29" t="str">
        <x:v>https://www.capitolnissan.com/inventory/new/nissan/leaf</x:v>
      </x:c>
      <x:c r="J22" s="29" t="str">
        <x:v>San Jose listing. Inventory can change.</x:v>
      </x:c>
    </x:row>
    <x:row r="23" ht="53" customHeight="1">
      <x:c r="A23" t="str">
        <x:v>E18</x:v>
      </x:c>
      <x:c r="B23" t="str">
        <x:v>EV-03</x:v>
      </x:c>
      <x:c r="C23" t="str">
        <x:v>Size screen</x:v>
      </x:c>
      <x:c r="D23" t="n">
        <x:v>20</x:v>
      </x:c>
      <x:c r="E23" t="str">
        <x:v>ft³</x:v>
      </x:c>
      <x:c r="F23" s="29" t="str">
        <x:v>Nissan · 2026 LEAF Specs &amp; Trims</x:v>
      </x:c>
      <x:c r="G23" s="29" t="str">
        <x:v>S+ FWD → Dimensions &amp; Capacities → Interior Cargo Volume</x:v>
      </x:c>
      <x:c r="H23" s="30" t="n">
        <x:v>46331</x:v>
      </x:c>
      <x:c r="I23" s="29" t="str">
        <x:v>https://www.nissanusa.com/vehicles/electric-cars/leaf/specs-trims.html?compare=17116&amp;language=en</x:v>
      </x:c>
      <x:c r="J23" s="29" t="str">
        <x:v>173.4 in long. Five seats.</x:v>
      </x:c>
    </x:row>
    <x:row r="24" ht="53" customHeight="1">
      <x:c r="A24" t="str">
        <x:v>E19</x:v>
      </x:c>
      <x:c r="B24" t="str">
        <x:v>EV-03</x:v>
      </x:c>
      <x:c r="C24" t="str">
        <x:v>0–60 check</x:v>
      </x:c>
      <x:c r="D24" t="n">
        <x:v>6.8</x:v>
      </x:c>
      <x:c r="E24" t="str">
        <x:v>s</x:v>
      </x:c>
      <x:c r="F24" s="29" t="str">
        <x:v>MotorTrend · Nissan Leaf Platinum+ SUVOTY test</x:v>
      </x:c>
      <x:c r="G24" s="29" t="str">
        <x:v>2026 Nissan Leaf Platinum+ Specifications → MotorTrend Test Results</x:v>
      </x:c>
      <x:c r="H24" s="30" t="n">
        <x:v>46331</x:v>
      </x:c>
      <x:c r="I24" s="29" t="str">
        <x:v>https://www.motortrend.com/news/nissan-leaf-platinum-plus-2026-suvoty</x:v>
      </x:c>
      <x:c r="J24" s="29" t="str">
        <x:v>Platinum+ test. S+ value still open.</x:v>
      </x:c>
    </x:row>
    <x:row r="25" ht="56" customHeight="1">
      <x:c r="A25" t="str">
        <x:v>E20</x:v>
      </x:c>
      <x:c r="B25" t="str">
        <x:v>EV-04</x:v>
      </x:c>
      <x:c r="C25" t="str">
        <x:v>Base MSRP</x:v>
      </x:c>
      <x:c r="D25" t="n">
        <x:v>34990</x:v>
      </x:c>
      <x:c r="E25" t="str">
        <x:v>USD</x:v>
      </x:c>
      <x:c r="F25" s="29" t="str">
        <x:v>Kia America · 2027 EV3 compare specs</x:v>
      </x:c>
      <x:c r="G25" s="29" t="str">
        <x:v>Wind → Starting MSRP</x:v>
      </x:c>
      <x:c r="H25" s="30" t="n">
        <x:v>46331</x:v>
      </x:c>
      <x:c r="I25" s="29" t="str">
        <x:v>https://www.kia.com/us/en/ev3/specs-compare</x:v>
      </x:c>
      <x:c r="J25" s="29" t="str">
        <x:v>Excludes destination. Wind is cheaper than the equal-range Land.</x:v>
      </x:c>
    </x:row>
    <x:row r="26" ht="56" customHeight="1">
      <x:c r="A26" t="str">
        <x:v>E21</x:v>
      </x:c>
      <x:c r="B26" t="str">
        <x:v>EV-04</x:v>
      </x:c>
      <x:c r="C26" t="str">
        <x:v>Destination</x:v>
      </x:c>
      <x:c r="D26" t="n">
        <x:v>1495</x:v>
      </x:c>
      <x:c r="E26" t="str">
        <x:v>USD</x:v>
      </x:c>
      <x:c r="F26" s="29" t="str">
        <x:v>Consumer Reports · 2027 Kia EV3 Road Test Report</x:v>
      </x:c>
      <x:c r="G26" s="29" t="str">
        <x:v>Pricing → Destination charge</x:v>
      </x:c>
      <x:c r="H26" s="30" t="n">
        <x:v>46331</x:v>
      </x:c>
      <x:c r="I26" s="29" t="str">
        <x:v>https://www.consumerreports.org/cars/kia/ev3/2027/road-test-report/</x:v>
      </x:c>
      <x:c r="J26" s="29" t="str">
        <x:v>Corroborated by Kia EV3 factory window stickers.</x:v>
      </x:c>
    </x:row>
    <x:row r="27" ht="56" customHeight="1">
      <x:c r="A27" t="str">
        <x:v>E22</x:v>
      </x:c>
      <x:c r="B27" t="str">
        <x:v>EV-04</x:v>
      </x:c>
      <x:c r="C27" t="str">
        <x:v>Battery</x:v>
      </x:c>
      <x:c r="D27" t="n">
        <x:v>81.4</x:v>
      </x:c>
      <x:c r="E27" t="str">
        <x:v>kWh</x:v>
      </x:c>
      <x:c r="F27" s="29" t="str">
        <x:v>Kia America · 2027 EV3 compare specs</x:v>
      </x:c>
      <x:c r="G27" s="29" t="str">
        <x:v>Wind → Drive Battery Energy</x:v>
      </x:c>
      <x:c r="H27" s="30" t="n">
        <x:v>46331</x:v>
      </x:c>
      <x:c r="I27" s="29" t="str">
        <x:v>https://www.kia.com/us/en/ev3/specs-compare</x:v>
      </x:c>
      <x:c r="J27" s="29" t="str">
        <x:v>Kia labels this drive battery energy. Net basis unspecified.</x:v>
      </x:c>
    </x:row>
    <x:row r="28" ht="56" customHeight="1">
      <x:c r="A28" t="str">
        <x:v>E23</x:v>
      </x:c>
      <x:c r="B28" t="str">
        <x:v>EV-04</x:v>
      </x:c>
      <x:c r="C28" t="str">
        <x:v>EPA range</x:v>
      </x:c>
      <x:c r="D28" t="n">
        <x:v>321</x:v>
      </x:c>
      <x:c r="E28" t="str">
        <x:v>mi</x:v>
      </x:c>
      <x:c r="F28" s="29" t="str">
        <x:v>Kia America · 2027 EV3 compare specs</x:v>
      </x:c>
      <x:c r="G28" s="29" t="str">
        <x:v>Wind and Land → EPA-Estimated All-Electric Range (FWD)</x:v>
      </x:c>
      <x:c r="H28" s="30" t="n">
        <x:v>46331</x:v>
      </x:c>
      <x:c r="I28" s="29" t="str">
        <x:v>https://www.kia.com/us/en/ev3/specs-compare</x:v>
      </x:c>
      <x:c r="J28" s="29" t="str">
        <x:v>Wind FWD and Land FWD tie at 321 mi.</x:v>
      </x:c>
    </x:row>
    <x:row r="29" ht="56" customHeight="1">
      <x:c r="A29" t="str">
        <x:v>E24</x:v>
      </x:c>
      <x:c r="B29" t="str">
        <x:v>EV-04</x:v>
      </x:c>
      <x:c r="C29" t="str">
        <x:v>0–60 mph</x:v>
      </x:c>
      <x:c r="D29" t="n">
        <x:v>7.3</x:v>
      </x:c>
      <x:c r="E29" t="str">
        <x:v>s</x:v>
      </x:c>
      <x:c r="F29" s="29" t="str">
        <x:v>Kia America · 2027 EV3 compare specs</x:v>
      </x:c>
      <x:c r="G29" s="29" t="str">
        <x:v>Wind → 0–60 mph from Standstill</x:v>
      </x:c>
      <x:c r="H29" s="30" t="n">
        <x:v>46331</x:v>
      </x:c>
      <x:c r="I29" s="29" t="str">
        <x:v>https://www.kia.com/us/en/ev3/specs-compare</x:v>
      </x:c>
      <x:c r="J29" s="29" t="str">
        <x:v>Manufacturer figure for standard Wind FWD.</x:v>
      </x:c>
    </x:row>
    <x:row r="30" ht="56" customHeight="1">
      <x:c r="A30" t="str">
        <x:v>E25</x:v>
      </x:c>
      <x:c r="B30" t="str">
        <x:v>EV-04</x:v>
      </x:c>
      <x:c r="C30" t="str">
        <x:v>New availability</x:v>
      </x:c>
      <x:c r="D30" t="str">
        <x:v>Listed</x:v>
      </x:c>
      <x:c r="E30"/>
      <x:c r="F30" s="29" t="str">
        <x:v>Kia America · Inventory Search</x:v>
      </x:c>
      <x:c r="G30" s="29" t="str">
        <x:v>2027 EV3 Wind → California inventory</x:v>
      </x:c>
      <x:c r="H30" s="30" t="n">
        <x:v>46331</x:v>
      </x:c>
      <x:c r="I30" s="29" t="str">
        <x:v>https://www.kia.com/us/en/inventory/result?seriesId=9AE&amp;year=2027&amp;zipCode=90210</x:v>
      </x:c>
      <x:c r="J30" s="29" t="str">
        <x:v>U.S. availability lead. Confirm drivetrain and local stock.</x:v>
      </x:c>
    </x:row>
    <x:row r="31" ht="56" customHeight="1">
      <x:c r="A31" t="str">
        <x:v>E26</x:v>
      </x:c>
      <x:c r="B31" t="str">
        <x:v>EV-04</x:v>
      </x:c>
      <x:c r="C31" t="str">
        <x:v>Research lead</x:v>
      </x:c>
      <x:c r="D31" t="str">
        <x:v>Peak DC open</x:v>
      </x:c>
      <x:c r="E31"/>
      <x:c r="F31" s="29" t="str">
        <x:v>Preliminary workbook · Part 1-2 EV Comparison</x:v>
      </x:c>
      <x:c r="G31" s="29" t="str">
        <x:v>Row 8 · S6 in Sources</x:v>
      </x:c>
      <x:c r="H31" s="30" t="n">
        <x:v>46331</x:v>
      </x:c>
      <x:c r="I31" s="29"/>
      <x:c r="J31" s="29" t="str">
        <x:v>S6 points to a European EV3 listing for peak power. Find the U.S. Wind FWD figure.</x:v>
      </x:c>
    </x:row>
    <x:row r="32" ht="56" customHeight="1">
      <x:c r="A32" t="str">
        <x:v>E27</x:v>
      </x:c>
      <x:c r="B32" t="str">
        <x:v>Model 3</x:v>
      </x:c>
      <x:c r="C32" t="str">
        <x:v>Trim lead</x:v>
      </x:c>
      <x:c r="D32" t="n">
        <x:v>363</x:v>
      </x:c>
      <x:c r="E32" t="str">
        <x:v>mi</x:v>
      </x:c>
      <x:c r="F32" s="29" t="str">
        <x:v>Tesla · Model 3</x:v>
      </x:c>
      <x:c r="G32" s="29" t="str">
        <x:v>Model 3 Premium Specs → Rear-Wheel Drive → Range (EPA est.)</x:v>
      </x:c>
      <x:c r="H32" s="30" t="n">
        <x:v>46331</x:v>
      </x:c>
      <x:c r="I32" s="29" t="str">
        <x:v>https://www.tesla.com/model3</x:v>
      </x:c>
      <x:c r="J32" s="29" t="str">
        <x:v>Preliminary workbook row 18 surfaced the Premium RWD. Recheck model year, battery, price and current configuration before promotion.</x:v>
      </x:c>
    </x:row>
    <x:row r="33" ht="57" customHeight="1">
      <x:c r="A33" t="str">
        <x:v>E28</x:v>
      </x:c>
      <x:c r="B33" t="str">
        <x:v>EV-05</x:v>
      </x:c>
      <x:c r="C33" t="str">
        <x:v>Base MSRP</x:v>
      </x:c>
      <x:c r="D33" t="n">
        <x:v>34995</x:v>
      </x:c>
      <x:c r="E33" t="str">
        <x:v>USD</x:v>
      </x:c>
      <x:c r="F33" s="29" t="str">
        <x:v>Subaru · 2026 Uncharted build</x:v>
      </x:c>
      <x:c r="G33" s="29" t="str">
        <x:v>Model → Premium FWD</x:v>
      </x:c>
      <x:c r="H33" s="30" t="n">
        <x:v>46331</x:v>
      </x:c>
      <x:c r="I33" s="29" t="str">
        <x:v>https://www.subaru.com/services/vehicles/pdf/buildAndPrice/3WRxUS7Wr2a4jetwQ9nrbtWrGWPrlBrjzSozdIx1M/1450</x:v>
      </x:c>
      <x:c r="J33" s="29" t="str">
        <x:v>Excludes optional paint.</x:v>
      </x:c>
    </x:row>
    <x:row r="34" ht="57" customHeight="1">
      <x:c r="A34" t="str">
        <x:v>E29</x:v>
      </x:c>
      <x:c r="B34" t="str">
        <x:v>EV-05</x:v>
      </x:c>
      <x:c r="C34" t="str">
        <x:v>Destination</x:v>
      </x:c>
      <x:c r="D34" t="n">
        <x:v>1450</x:v>
      </x:c>
      <x:c r="E34" t="str">
        <x:v>USD</x:v>
      </x:c>
      <x:c r="F34" s="29" t="str">
        <x:v>Subaru · 2026 Uncharted build</x:v>
      </x:c>
      <x:c r="G34" s="29" t="str">
        <x:v>Destination &amp; Delivery</x:v>
      </x:c>
      <x:c r="H34" s="30" t="n">
        <x:v>46331</x:v>
      </x:c>
      <x:c r="I34" s="29" t="str">
        <x:v>https://www.subaru.com/services/vehicles/pdf/buildAndPrice/3WRxUS7Wr2a4jetwQ9nrbtWrGWPrlBrjzSozdIx1M/1450</x:v>
      </x:c>
      <x:c r="J34" s="29" t="str">
        <x:v>Added to base MSRP.</x:v>
      </x:c>
    </x:row>
    <x:row r="35" ht="57" customHeight="1">
      <x:c r="A35" t="str">
        <x:v>E30</x:v>
      </x:c>
      <x:c r="B35" t="str">
        <x:v>EV-05</x:v>
      </x:c>
      <x:c r="C35" t="str">
        <x:v>Battery</x:v>
      </x:c>
      <x:c r="D35" t="n">
        <x:v>74.7</x:v>
      </x:c>
      <x:c r="E35" t="str">
        <x:v>kWh</x:v>
      </x:c>
      <x:c r="F35" s="29" t="str">
        <x:v>Subaru · 2026 Uncharted Compare Specs</x:v>
      </x:c>
      <x:c r="G35" s="29" t="str">
        <x:v>Battery/Charging → Battery total power</x:v>
      </x:c>
      <x:c r="H35" s="30" t="n">
        <x:v>46331</x:v>
      </x:c>
      <x:c r="I35" s="29" t="str">
        <x:v>https://www.subaru.com/services/vehicles/pdf/trimComparison/2026/UNC?hideBuildMsrp=false</x:v>
      </x:c>
      <x:c r="J35" s="29" t="str">
        <x:v>Subaru lists total pack figure.</x:v>
      </x:c>
    </x:row>
    <x:row r="36" ht="57" customHeight="1">
      <x:c r="A36" t="str">
        <x:v>E31</x:v>
      </x:c>
      <x:c r="B36" t="str">
        <x:v>EV-05</x:v>
      </x:c>
      <x:c r="C36" t="str">
        <x:v>EPA range</x:v>
      </x:c>
      <x:c r="D36" t="n">
        <x:v>308</x:v>
      </x:c>
      <x:c r="E36" t="str">
        <x:v>mi</x:v>
      </x:c>
      <x:c r="F36" s="29" t="str">
        <x:v>Subaru · 2026 Uncharted Compare Specs</x:v>
      </x:c>
      <x:c r="G36" s="29" t="str">
        <x:v>Battery/Charging → Range → Premium FWD</x:v>
      </x:c>
      <x:c r="H36" s="30" t="n">
        <x:v>46331</x:v>
      </x:c>
      <x:c r="I36" s="29" t="str">
        <x:v>https://www.subaru.com/services/vehicles/pdf/trimComparison/2026/UNC?hideBuildMsrp=false</x:v>
      </x:c>
      <x:c r="J36" s="29" t="str">
        <x:v>Highest listed 2026 Uncharted range.</x:v>
      </x:c>
    </x:row>
    <x:row r="37" ht="57" customHeight="1">
      <x:c r="A37" t="str">
        <x:v>E32</x:v>
      </x:c>
      <x:c r="B37" t="str">
        <x:v>EV-05</x:v>
      </x:c>
      <x:c r="C37" t="str">
        <x:v>Peak DC</x:v>
      </x:c>
      <x:c r="D37" t="n">
        <x:v>150</x:v>
      </x:c>
      <x:c r="E37" t="str">
        <x:v>kW</x:v>
      </x:c>
      <x:c r="F37" s="29" t="str">
        <x:v>Subaru · Vehicle Resources</x:v>
      </x:c>
      <x:c r="G37" s="29" t="str">
        <x:v>Premium FWD → Motor/Chassis → Maximum rated DC fast-charging speed</x:v>
      </x:c>
      <x:c r="H37" s="30" t="n">
        <x:v>46331</x:v>
      </x:c>
      <x:c r="I37" s="29" t="str">
        <x:v>https://www.subaru.com/owners/vehicle-resources.html?model=2026-UNC-TWB</x:v>
      </x:c>
      <x:c r="J37" s="29" t="str">
        <x:v>Rated peak.</x:v>
      </x:c>
    </x:row>
    <x:row r="38" ht="57" customHeight="1">
      <x:c r="A38" t="str">
        <x:v>E33</x:v>
      </x:c>
      <x:c r="B38" t="str">
        <x:v>EV-05</x:v>
      </x:c>
      <x:c r="C38" t="str">
        <x:v>New listing</x:v>
      </x:c>
      <x:c r="D38" t="str">
        <x:v>Listed</x:v>
      </x:c>
      <x:c r="E38"/>
      <x:c r="F38" s="29" t="str">
        <x:v>Bakhtiari Subaru · San Jose new inventory</x:v>
      </x:c>
      <x:c r="G38" s="29" t="str">
        <x:v>New 2026 Uncharted Premium FWD</x:v>
      </x:c>
      <x:c r="H38" s="30" t="n">
        <x:v>46331</x:v>
      </x:c>
      <x:c r="I38" s="29" t="str">
        <x:v>https://www.bakhtiariauto.com/new-San%2BJose-2026-Subaru-UNCHARTED-Premium%2BFWD-JTMABABE8TJ009928</x:v>
      </x:c>
      <x:c r="J38" s="29" t="str">
        <x:v>Dealer listing. Check stock before purchase.</x:v>
      </x:c>
    </x:row>
    <x:row r="39" ht="57" customHeight="1">
      <x:c r="A39" t="str">
        <x:v>E34</x:v>
      </x:c>
      <x:c r="B39" t="str">
        <x:v>EV-06</x:v>
      </x:c>
      <x:c r="C39" t="str">
        <x:v>Base MSRP</x:v>
      </x:c>
      <x:c r="D39" t="n">
        <x:v>37750</x:v>
      </x:c>
      <x:c r="E39" t="str">
        <x:v>USD</x:v>
      </x:c>
      <x:c r="F39" s="29" t="str">
        <x:v>Hyundai USA · 2027 IONIQ 5 SE</x:v>
      </x:c>
      <x:c r="G39" s="29" t="str">
        <x:v>SE → Starting MSRP</x:v>
      </x:c>
      <x:c r="H39" s="30" t="n">
        <x:v>46331</x:v>
      </x:c>
      <x:c r="I39" s="29" t="str">
        <x:v>https://www.hyundaiusa.com/us/en/vehicles/ioniq-5/se</x:v>
      </x:c>
      <x:c r="J39" s="29" t="str">
        <x:v>Freight excluded.</x:v>
      </x:c>
    </x:row>
    <x:row r="40" ht="57" customHeight="1">
      <x:c r="A40" t="str">
        <x:v>E35</x:v>
      </x:c>
      <x:c r="B40" t="str">
        <x:v>EV-06</x:v>
      </x:c>
      <x:c r="C40" t="str">
        <x:v>Destination</x:v>
      </x:c>
      <x:c r="D40" t="n">
        <x:v>1650</x:v>
      </x:c>
      <x:c r="E40" t="str">
        <x:v>USD</x:v>
      </x:c>
      <x:c r="F40" s="29" t="str">
        <x:v>Cars.com · 2027 Ioniq 5 pricing and specs</x:v>
      </x:c>
      <x:c r="G40" s="29" t="str">
        <x:v>Pricing → destination charge</x:v>
      </x:c>
      <x:c r="H40" s="30" t="n">
        <x:v>46331</x:v>
      </x:c>
      <x:c r="I40" s="29" t="str">
        <x:v>https://www.cars.com/articles/how-much-is-the-2027-hyundai-ioniq-5-528243/</x:v>
      </x:c>
      <x:c r="J40" s="29" t="str">
        <x:v>Reported for 2027 lineup.</x:v>
      </x:c>
    </x:row>
    <x:row r="41" ht="57" customHeight="1">
      <x:c r="A41" t="str">
        <x:v>E36</x:v>
      </x:c>
      <x:c r="B41" t="str">
        <x:v>EV-06</x:v>
      </x:c>
      <x:c r="C41" t="str">
        <x:v>Battery</x:v>
      </x:c>
      <x:c r="D41" t="n">
        <x:v>84</x:v>
      </x:c>
      <x:c r="E41" t="str">
        <x:v>kWh</x:v>
      </x:c>
      <x:c r="F41" s="29" t="str">
        <x:v>Hyundai USA · 2027 IONIQ 5 SE</x:v>
      </x:c>
      <x:c r="G41" s="29" t="str">
        <x:v>SE → battery capacity</x:v>
      </x:c>
      <x:c r="H41" s="30" t="n">
        <x:v>46331</x:v>
      </x:c>
      <x:c r="I41" s="29" t="str">
        <x:v>https://www.hyundaiusa.com/us/en/vehicles/ioniq-5/se</x:v>
      </x:c>
      <x:c r="J41" s="29" t="str">
        <x:v>Published pack size.</x:v>
      </x:c>
    </x:row>
    <x:row r="42" ht="57" customHeight="1">
      <x:c r="A42" t="str">
        <x:v>E37</x:v>
      </x:c>
      <x:c r="B42" t="str">
        <x:v>EV-06</x:v>
      </x:c>
      <x:c r="C42" t="str">
        <x:v>EPA range</x:v>
      </x:c>
      <x:c r="D42" t="n">
        <x:v>318</x:v>
      </x:c>
      <x:c r="E42" t="str">
        <x:v>mi</x:v>
      </x:c>
      <x:c r="F42" s="29" t="str">
        <x:v>Hyundai USA · 2027 IONIQ 5 SE</x:v>
      </x:c>
      <x:c r="G42" s="29" t="str">
        <x:v>SE → RWD EPA-estimated All-Electric Range</x:v>
      </x:c>
      <x:c r="H42" s="30" t="n">
        <x:v>46331</x:v>
      </x:c>
      <x:c r="I42" s="29" t="str">
        <x:v>https://www.hyundaiusa.com/us/en/vehicles/ioniq-5/se</x:v>
      </x:c>
      <x:c r="J42" s="29" t="str">
        <x:v>SE is lowest-priced trim tied at this range.</x:v>
      </x:c>
    </x:row>
    <x:row r="43" ht="57" customHeight="1">
      <x:c r="A43" t="str">
        <x:v>E38</x:v>
      </x:c>
      <x:c r="B43" t="str">
        <x:v>EV-06</x:v>
      </x:c>
      <x:c r="C43" t="str">
        <x:v>Peak DC</x:v>
      </x:c>
      <x:c r="D43" t="n">
        <x:v>250</x:v>
      </x:c>
      <x:c r="E43" t="str">
        <x:v>kW</x:v>
      </x:c>
      <x:c r="F43" s="29" t="str">
        <x:v>Cars.com · 2027 Ioniq 5 pricing and specs</x:v>
      </x:c>
      <x:c r="G43" s="29" t="str">
        <x:v>Powertrains and Range → up-to rate for either battery pack</x:v>
      </x:c>
      <x:c r="H43" s="30" t="n">
        <x:v>46331</x:v>
      </x:c>
      <x:c r="I43" s="29" t="str">
        <x:v>https://www.cars.com/articles/how-much-is-the-2027-hyundai-ioniq-5-528243/</x:v>
      </x:c>
      <x:c r="J43" s="29" t="str">
        <x:v>Published lineup figure. Confirm exact configuration in primary specs.</x:v>
      </x:c>
    </x:row>
    <x:row r="44" ht="57" customHeight="1">
      <x:c r="A44" t="str">
        <x:v>E39</x:v>
      </x:c>
      <x:c r="B44" t="str">
        <x:v>EV-06</x:v>
      </x:c>
      <x:c r="C44" t="str">
        <x:v>New listing</x:v>
      </x:c>
      <x:c r="D44" t="str">
        <x:v>Listed</x:v>
      </x:c>
      <x:c r="E44"/>
      <x:c r="F44" s="29" t="str">
        <x:v>Henderson Hyundai · new SE RWD</x:v>
      </x:c>
      <x:c r="G44" s="29" t="str">
        <x:v>New 2027 IONIQ 5 SE RWD · VY073693</x:v>
      </x:c>
      <x:c r="H44" s="30" t="n">
        <x:v>46331</x:v>
      </x:c>
      <x:c r="I44" s="29" t="str">
        <x:v>https://www.hendersonhyundai.com/inventory/new-2027-hyundai-ioniq-5-se-rwd-sport-utility-7yakm4da1vy073693/</x:v>
      </x:c>
      <x:c r="J44" s="29" t="str">
        <x:v>U.S. dealer listing.</x:v>
      </x:c>
    </x:row>
    <x:row r="45" ht="57" customHeight="1">
      <x:c r="A45" t="str">
        <x:v>E40</x:v>
      </x:c>
      <x:c r="B45" t="str">
        <x:v>EV-07</x:v>
      </x:c>
      <x:c r="C45" t="str">
        <x:v>Base MSRP</x:v>
      </x:c>
      <x:c r="D45" t="n">
        <x:v>37980</x:v>
      </x:c>
      <x:c r="E45" t="str">
        <x:v>USD</x:v>
      </x:c>
      <x:c r="F45" s="29" t="str">
        <x:v>Toyota · 2027 bZ Full Specs</x:v>
      </x:c>
      <x:c r="G45" s="29" t="str">
        <x:v>XLE Electric Motor Front-Wheel Drive Plus → Base MSRP</x:v>
      </x:c>
      <x:c r="H45" s="30" t="n">
        <x:v>46331</x:v>
      </x:c>
      <x:c r="I45" s="29" t="str">
        <x:v>https://www.toyota.com/bz/features/</x:v>
      </x:c>
      <x:c r="J45" s="29" t="str">
        <x:v>Destination-inclusive price stays open.</x:v>
      </x:c>
    </x:row>
    <x:row r="46" ht="57" customHeight="1">
      <x:c r="A46" t="str">
        <x:v>E41</x:v>
      </x:c>
      <x:c r="B46" t="str">
        <x:v>EV-07</x:v>
      </x:c>
      <x:c r="C46" t="str">
        <x:v>Battery</x:v>
      </x:c>
      <x:c r="D46" t="n">
        <x:v>74.7</x:v>
      </x:c>
      <x:c r="E46" t="str">
        <x:v>kWh</x:v>
      </x:c>
      <x:c r="F46" s="29" t="str">
        <x:v>Toyota USA Newsroom · 2027 bZ</x:v>
      </x:c>
      <x:c r="G46" s="29" t="str">
        <x:v>BEV System → XLE FWD Plus</x:v>
      </x:c>
      <x:c r="H46" s="30" t="n">
        <x:v>46331</x:v>
      </x:c>
      <x:c r="I46" s="29" t="str">
        <x:v>https://pressroom.toyota.com/everyday-electric-confidence-returns-for-2027-with-toyota-bz/</x:v>
      </x:c>
      <x:c r="J46" s="29" t="str">
        <x:v>Published pack size.</x:v>
      </x:c>
    </x:row>
    <x:row r="47" ht="57" customHeight="1">
      <x:c r="A47" t="str">
        <x:v>E42</x:v>
      </x:c>
      <x:c r="B47" t="str">
        <x:v>EV-07</x:v>
      </x:c>
      <x:c r="C47" t="str">
        <x:v>EPA range</x:v>
      </x:c>
      <x:c r="D47" t="n">
        <x:v>314</x:v>
      </x:c>
      <x:c r="E47" t="str">
        <x:v>mi</x:v>
      </x:c>
      <x:c r="F47" s="29" t="str">
        <x:v>Toyota · 2027 bZ overview</x:v>
      </x:c>
      <x:c r="G47" s="29" t="str">
        <x:v>bZ Specs → EPA-est. 314-Mile Range Rating on XLE FWD Plus</x:v>
      </x:c>
      <x:c r="H47" s="30" t="n">
        <x:v>46331</x:v>
      </x:c>
      <x:c r="I47" s="29" t="str">
        <x:v>https://www.toyota.com/vehicles/bz/2027</x:v>
      </x:c>
      <x:c r="J47" s="29" t="str">
        <x:v>Longest range in Toyota's 2027 lineup.</x:v>
      </x:c>
    </x:row>
    <x:row r="48" ht="57" customHeight="1">
      <x:c r="A48" t="str">
        <x:v>E43</x:v>
      </x:c>
      <x:c r="B48" t="str">
        <x:v>EV-07</x:v>
      </x:c>
      <x:c r="C48" t="str">
        <x:v>New listing</x:v>
      </x:c>
      <x:c r="D48" t="str">
        <x:v>Listed</x:v>
      </x:c>
      <x:c r="E48"/>
      <x:c r="F48" s="29" t="str">
        <x:v>Tri County Toyota · new bZ inventory</x:v>
      </x:c>
      <x:c r="G48" s="29" t="str">
        <x:v>New 2027 Toyota bZ XLE FWD PLUS</x:v>
      </x:c>
      <x:c r="H48" s="30" t="n">
        <x:v>46331</x:v>
      </x:c>
      <x:c r="I48" s="29" t="str">
        <x:v>https://www.tricountytoyota.com/search/new-toyota-bz/?md=26005&amp;mk=63&amp;tp=new</x:v>
      </x:c>
      <x:c r="J48" s="29" t="str">
        <x:v>U.S. dealer listing.</x:v>
      </x:c>
    </x:row>
    <x:row r="49" ht="57" customHeight="1">
      <x:c r="A49" t="str">
        <x:v>E44</x:v>
      </x:c>
      <x:c r="B49" t="str">
        <x:v>EV-08</x:v>
      </x:c>
      <x:c r="C49" t="str">
        <x:v>List price</x:v>
      </x:c>
      <x:c r="D49" t="n">
        <x:v>40345</x:v>
      </x:c>
      <x:c r="E49" t="str">
        <x:v>USD</x:v>
      </x:c>
      <x:c r="F49" s="29" t="str">
        <x:v>Volvo Cars USA · Offers</x:v>
      </x:c>
      <x:c r="G49" s="29" t="str">
        <x:v>2026 EX30 → Starting MSRP and disclaimer</x:v>
      </x:c>
      <x:c r="H49" s="30" t="n">
        <x:v>46331</x:v>
      </x:c>
      <x:c r="I49" s="29" t="str">
        <x:v>https://www.volvocars.com/us/offers/</x:v>
      </x:c>
      <x:c r="J49" s="29" t="str">
        <x:v>Includes $1,395 destination. Single Motor Plus price matches Volvo specs.</x:v>
      </x:c>
    </x:row>
    <x:row r="50" ht="57" customHeight="1">
      <x:c r="A50" t="str">
        <x:v>E45</x:v>
      </x:c>
      <x:c r="B50" t="str">
        <x:v>EV-08</x:v>
      </x:c>
      <x:c r="C50" t="str">
        <x:v>Battery</x:v>
      </x:c>
      <x:c r="D50" t="n">
        <x:v>69</x:v>
      </x:c>
      <x:c r="E50" t="str">
        <x:v>kWh</x:v>
      </x:c>
      <x:c r="F50" s="29" t="str">
        <x:v>Volvo Cars USA · 2026 EX30 specifications</x:v>
      </x:c>
      <x:c r="G50" s="29" t="str">
        <x:v>Single Motor Extended Range → Battery capacity</x:v>
      </x:c>
      <x:c r="H50" s="30" t="n">
        <x:v>46331</x:v>
      </x:c>
      <x:c r="I50" s="29" t="str">
        <x:v>https://www.volvocars.com/us/cars/ex30-electric/specifications/</x:v>
      </x:c>
      <x:c r="J50" s="29" t="str">
        <x:v>Volvo published capacity. MotorTrend reports 64 kWh in its test table.</x:v>
      </x:c>
    </x:row>
    <x:row r="51" ht="57" customHeight="1">
      <x:c r="A51" t="str">
        <x:v>E46</x:v>
      </x:c>
      <x:c r="B51" t="str">
        <x:v>EV-08</x:v>
      </x:c>
      <x:c r="C51" t="str">
        <x:v>EPA range</x:v>
      </x:c>
      <x:c r="D51" t="n">
        <x:v>261</x:v>
      </x:c>
      <x:c r="E51" t="str">
        <x:v>mi</x:v>
      </x:c>
      <x:c r="F51" s="29" t="str">
        <x:v>Volvo Cars USA · 2026 EX30 specifications</x:v>
      </x:c>
      <x:c r="G51" s="29" t="str">
        <x:v>Single Motor Extended Range → Electric range</x:v>
      </x:c>
      <x:c r="H51" s="30" t="n">
        <x:v>46331</x:v>
      </x:c>
      <x:c r="I51" s="29" t="str">
        <x:v>https://www.volvocars.com/us/cars/ex30-electric/specifications/</x:v>
      </x:c>
      <x:c r="J51" s="29" t="str">
        <x:v>Highest range among Volvo's listed 2026 EX30 powertrains.</x:v>
      </x:c>
    </x:row>
    <x:row r="52" ht="57" customHeight="1">
      <x:c r="A52" t="str">
        <x:v>E47</x:v>
      </x:c>
      <x:c r="B52" t="str">
        <x:v>EV-08</x:v>
      </x:c>
      <x:c r="C52" t="str">
        <x:v>0–60 mph</x:v>
      </x:c>
      <x:c r="D52" t="n">
        <x:v>4.8</x:v>
      </x:c>
      <x:c r="E52" t="str">
        <x:v>s</x:v>
      </x:c>
      <x:c r="F52" s="29" t="str">
        <x:v>MotorTrend · 2026 EX30 Single Motor Plus First Test</x:v>
      </x:c>
      <x:c r="G52" s="29" t="str">
        <x:v>MotorTrend Test Results → 0–60 MPH</x:v>
      </x:c>
      <x:c r="H52" s="30" t="n">
        <x:v>46331</x:v>
      </x:c>
      <x:c r="I52" s="29" t="str">
        <x:v>https://www.motortrend.com/reviews/2026-volvo-ex30-long-range-plus-first-test-review</x:v>
      </x:c>
      <x:c r="J52" s="29" t="str">
        <x:v>Instrumented result for the 2026 Single Motor Plus RWD.</x:v>
      </x:c>
    </x:row>
    <x:row r="53" ht="57" customHeight="1">
      <x:c r="A53" t="str">
        <x:v>E48</x:v>
      </x:c>
      <x:c r="B53" t="str">
        <x:v>EV-08</x:v>
      </x:c>
      <x:c r="C53" t="str">
        <x:v>Peak DC</x:v>
      </x:c>
      <x:c r="D53" t="n">
        <x:v>153</x:v>
      </x:c>
      <x:c r="E53" t="str">
        <x:v>kW</x:v>
      </x:c>
      <x:c r="F53" s="29" t="str">
        <x:v>MotorTrend · 2026 EX30 Single Motor Plus First Test</x:v>
      </x:c>
      <x:c r="G53" s="29" t="str">
        <x:v>Range and charging discussion → maximum charging speed</x:v>
      </x:c>
      <x:c r="H53" s="30" t="n">
        <x:v>46331</x:v>
      </x:c>
      <x:c r="I53" s="29" t="str">
        <x:v>https://www.motortrend.com/reviews/2026-volvo-ex30-long-range-plus-first-test-review</x:v>
      </x:c>
      <x:c r="J53" s="29" t="str">
        <x:v>Reported peak for tested trim.</x:v>
      </x:c>
    </x:row>
    <x:row r="54" ht="57" customHeight="1">
      <x:c r="A54" t="str">
        <x:v>E49</x:v>
      </x:c>
      <x:c r="B54" t="str">
        <x:v>EV-08</x:v>
      </x:c>
      <x:c r="C54" t="str">
        <x:v>New listing</x:v>
      </x:c>
      <x:c r="D54" t="str">
        <x:v>Listed</x:v>
      </x:c>
      <x:c r="E54"/>
      <x:c r="F54" s="29" t="str">
        <x:v>Volvo Cars North Miami · new EX30 inventory</x:v>
      </x:c>
      <x:c r="G54" s="29" t="str">
        <x:v>2026 EX30 Single Motor Extended Range RWD Plus</x:v>
      </x:c>
      <x:c r="H54" s="30" t="n">
        <x:v>46331</x:v>
      </x:c>
      <x:c r="I54" s="29" t="str">
        <x:v>https://www.volvocarsnorthmiami.com/inventory/new/volvo/ex30</x:v>
      </x:c>
      <x:c r="J54" s="29" t="str">
        <x:v>Exact configuration listed new in U.S. inventory.</x:v>
      </x:c>
    </x:row>
    <x:row r="55" ht="57" customHeight="1">
      <x:c r="A55" t="str">
        <x:v>E50</x:v>
      </x:c>
      <x:c r="B55" t="str">
        <x:v>EV-08</x:v>
      </x:c>
      <x:c r="C55" t="str">
        <x:v>Size screen</x:v>
      </x:c>
      <x:c r="D55" t="n">
        <x:v>166.7</x:v>
      </x:c>
      <x:c r="E55" t="str">
        <x:v>in</x:v>
      </x:c>
      <x:c r="F55" s="29" t="str">
        <x:v>MotorTrend · 2026 EX30 Single Motor Plus First Test</x:v>
      </x:c>
      <x:c r="G55" s="29" t="str">
        <x:v>Specifications → Vehicle layout and Length × Width × Height</x:v>
      </x:c>
      <x:c r="H55" s="30" t="n">
        <x:v>46331</x:v>
      </x:c>
      <x:c r="I55" s="29" t="str">
        <x:v>https://www.motortrend.com/reviews/2026-volvo-ex30-long-range-plus-first-test-review</x:v>
      </x:c>
      <x:c r="J55" s="29" t="str">
        <x:v>Five-seat small SUV.</x:v>
      </x:c>
    </x:row>
    <x:row r="56" ht="57" customHeight="1">
      <x:c r="A56" t="str">
        <x:v>E51</x:v>
      </x:c>
      <x:c r="B56" t="str">
        <x:v>EV-09</x:v>
      </x:c>
      <x:c r="C56" t="str">
        <x:v>EPA range</x:v>
      </x:c>
      <x:c r="D56" t="n">
        <x:v>363</x:v>
      </x:c>
      <x:c r="E56" t="str">
        <x:v>mi</x:v>
      </x:c>
      <x:c r="F56" s="29" t="str">
        <x:v>EPA ENERGY STAR · 2026 Model 3 Premium RWD</x:v>
      </x:c>
      <x:c r="G56" s="29" t="str">
        <x:v>2026 Tesla Model 3 Premium RWD → Electric Range</x:v>
      </x:c>
      <x:c r="H56" s="30" t="n">
        <x:v>46331</x:v>
      </x:c>
      <x:c r="I56" s="29" t="str">
        <x:v>https://www.energystar.gov/products/ev_chargers/electric-vehicles-and-hybrids/details/50038</x:v>
      </x:c>
      <x:c r="J56" s="29" t="str">
        <x:v>Confirms model year and range.</x:v>
      </x:c>
    </x:row>
    <x:row r="57" ht="57" customHeight="1">
      <x:c r="A57" t="str">
        <x:v>E52</x:v>
      </x:c>
      <x:c r="B57" t="str">
        <x:v>EV-09</x:v>
      </x:c>
      <x:c r="C57" t="str">
        <x:v>0–60 mph</x:v>
      </x:c>
      <x:c r="D57" t="n">
        <x:v>4.9</x:v>
      </x:c>
      <x:c r="E57" t="str">
        <x:v>s</x:v>
      </x:c>
      <x:c r="F57" s="29" t="str">
        <x:v>Tesla · Model 3 specifications</x:v>
      </x:c>
      <x:c r="G57" s="29" t="str">
        <x:v>Model 3 Premium Specs → Rear-Wheel Drive → Acceleration</x:v>
      </x:c>
      <x:c r="H57" s="30" t="n">
        <x:v>46331</x:v>
      </x:c>
      <x:c r="I57" s="29" t="str">
        <x:v>https://www.tesla.com/model3</x:v>
      </x:c>
      <x:c r="J57" s="29" t="str">
        <x:v>Manufacturer figure.</x:v>
      </x:c>
    </x:row>
    <x:row r="58" ht="57" customHeight="1">
      <x:c r="A58" t="str">
        <x:v>E53</x:v>
      </x:c>
      <x:c r="B58" t="str">
        <x:v>EV-09</x:v>
      </x:c>
      <x:c r="C58" t="str">
        <x:v>Peak DC</x:v>
      </x:c>
      <x:c r="D58" t="n">
        <x:v>250</x:v>
      </x:c>
      <x:c r="E58" t="str">
        <x:v>kW</x:v>
      </x:c>
      <x:c r="F58" s="29" t="str">
        <x:v>Tesla · Model 3 specifications</x:v>
      </x:c>
      <x:c r="G58" s="29" t="str">
        <x:v>Model 3 Premium Specs → Rear-Wheel Drive → Supercharging Max</x:v>
      </x:c>
      <x:c r="H58" s="30" t="n">
        <x:v>46331</x:v>
      </x:c>
      <x:c r="I58" s="29" t="str">
        <x:v>https://www.tesla.com/model3</x:v>
      </x:c>
      <x:c r="J58" s="29" t="str">
        <x:v>Manufacturer figure.</x:v>
      </x:c>
    </x:row>
    <x:row r="59" ht="57" customHeight="1">
      <x:c r="A59" t="str">
        <x:v>E54</x:v>
      </x:c>
      <x:c r="B59" t="str">
        <x:v>EV-09</x:v>
      </x:c>
      <x:c r="C59" t="str">
        <x:v>New order</x:v>
      </x:c>
      <x:c r="D59" t="str">
        <x:v>Listed</x:v>
      </x:c>
      <x:c r="E59"/>
      <x:c r="F59" s="29" t="str">
        <x:v>Tesla · Design Your Model 3</x:v>
      </x:c>
      <x:c r="G59" s="29" t="str">
        <x:v>Model 3 Premium → Rear-Wheel Drive</x:v>
      </x:c>
      <x:c r="H59" s="30" t="n">
        <x:v>46331</x:v>
      </x:c>
      <x:c r="I59" s="29" t="str">
        <x:v>https://www.tesla.com/model3/design?cfg=%24MT367</x:v>
      </x:c>
      <x:c r="J59" s="29" t="str">
        <x:v>Current order configuration. Verify delivery price and model year together.</x:v>
      </x:c>
    </x:row>
    <x:row r="60" ht="62" customHeight="1">
      <x:c r="A60" t="str">
        <x:v>E55</x:v>
      </x:c>
      <x:c r="B60" t="str">
        <x:v>EV-07</x:v>
      </x:c>
      <x:c r="C60" t="str">
        <x:v>List price</x:v>
      </x:c>
      <x:c r="D60" t="n">
        <x:v>39575</x:v>
      </x:c>
      <x:c r="E60" t="str">
        <x:v>USD</x:v>
      </x:c>
      <x:c r="F60" s="29" t="str">
        <x:v>Toyota of Deerfield Beach · new 2027 bZ</x:v>
      </x:c>
      <x:c r="G60" s="29" t="str">
        <x:v>XLE Plus FWD → Total SRP · stock VA014096</x:v>
      </x:c>
      <x:c r="H60" s="30" t="n">
        <x:v>46331</x:v>
      </x:c>
      <x:c r="I60" s="29" t="str">
        <x:v>https://www.toyotaofdeerfieldbeach.com/new/Toyota/2026-Toyota-bZ-2160d594ac183b953cbae2d1341b5510.htm</x:v>
      </x:c>
      <x:c r="J60" s="29" t="str">
        <x:v>Total SRP before separately listed dealer fees. Matches the national XLE Plus trim price.</x:v>
      </x:c>
    </x:row>
    <x:row r="61" ht="62" customHeight="1">
      <x:c r="A61" t="str">
        <x:v>E56</x:v>
      </x:c>
      <x:c r="B61" t="str">
        <x:v>EV-07</x:v>
      </x:c>
      <x:c r="C61" t="str">
        <x:v>0–60 mph</x:v>
      </x:c>
      <x:c r="D61" t="n">
        <x:v>6.2</x:v>
      </x:c>
      <x:c r="E61" t="str">
        <x:v>s</x:v>
      </x:c>
      <x:c r="F61" s="29" t="str">
        <x:v>Car and Driver · 2027 Toyota bZ</x:v>
      </x:c>
      <x:c r="G61" s="29" t="str">
        <x:v>0–60-MPH Times and Specifications → 2026 XLE Plus FWD</x:v>
      </x:c>
      <x:c r="H61" s="30" t="n">
        <x:v>46331</x:v>
      </x:c>
      <x:c r="I61" s="29" t="str">
        <x:v>https://www.caranddriver.com/toyota/bz</x:v>
      </x:c>
      <x:c r="J61" s="29" t="str">
        <x:v>Measured on the matching 2026 trim. C/D applies it to 2027.</x:v>
      </x:c>
    </x:row>
    <x:row r="62" ht="62" customHeight="1">
      <x:c r="A62" t="str">
        <x:v>E57</x:v>
      </x:c>
      <x:c r="B62" t="str">
        <x:v>EV-07</x:v>
      </x:c>
      <x:c r="C62" t="str">
        <x:v>Peak DC</x:v>
      </x:c>
      <x:c r="D62" t="n">
        <x:v>150</x:v>
      </x:c>
      <x:c r="E62" t="str">
        <x:v>kW</x:v>
      </x:c>
      <x:c r="F62" s="29" t="str">
        <x:v>Car and Driver · 2027 Toyota bZ</x:v>
      </x:c>
      <x:c r="G62" s="29" t="str">
        <x:v>Specifications → 2026 XLE Plus FWD → Peak Charge Rate, AC/DC</x:v>
      </x:c>
      <x:c r="H62" s="30" t="n">
        <x:v>46331</x:v>
      </x:c>
      <x:c r="I62" s="29" t="str">
        <x:v>https://www.caranddriver.com/toyota/bz</x:v>
      </x:c>
      <x:c r="J62" s="29" t="str">
        <x:v>Published peak for the 2026 test configuration.</x:v>
      </x:c>
    </x:row>
    <x:row r="63" ht="62" customHeight="1">
      <x:c r="A63" t="str">
        <x:v>E58</x:v>
      </x:c>
      <x:c r="B63" t="str">
        <x:v>EV-07</x:v>
      </x:c>
      <x:c r="C63" t="str">
        <x:v>Model-year carryover</x:v>
      </x:c>
      <x:c r="D63" t="str">
        <x:v>Unchanged</x:v>
      </x:c>
      <x:c r="E63"/>
      <x:c r="F63" s="29" t="str">
        <x:v>Toyota USA Newsroom · 2027 Toyota bZ</x:v>
      </x:c>
      <x:c r="G63" s="29" t="str">
        <x:v>Opening paragraphs → unchanged from prior model year</x:v>
      </x:c>
      <x:c r="H63" s="30" t="n">
        <x:v>46331</x:v>
      </x:c>
      <x:c r="I63" s="29" t="str">
        <x:v>https://pressroom.toyota.com/everyday-electric-confidence-returns-for-2027-with-toyota-bz/</x:v>
      </x:c>
      <x:c r="J63" s="29" t="str">
        <x:v>Supports using the matching prior-year configuration's test and peak rating.</x:v>
      </x:c>
    </x:row>
    <x:row r="64" ht="59" customHeight="1">
      <x:c r="A64" t="str">
        <x:v>E59</x:v>
      </x:c>
      <x:c r="B64" t="str">
        <x:v>EV-10</x:v>
      </x:c>
      <x:c r="C64" t="str">
        <x:v>Base MSRP</x:v>
      </x:c>
      <x:c r="D64" t="n">
        <x:v>45200</x:v>
      </x:c>
      <x:c r="E64" t="str">
        <x:v>USD</x:v>
      </x:c>
      <x:c r="F64" s="29" t="str">
        <x:v>MINI USA · 2027 Countryman model updates</x:v>
      </x:c>
      <x:c r="G64" s="29" t="str">
        <x:v>p. 3 → Pricing → SE ALL4 Electric Signature Plus</x:v>
      </x:c>
      <x:c r="H64" s="30" t="n">
        <x:v>46331</x:v>
      </x:c>
      <x:c r="I64" s="29" t="str">
        <x:v>https://www.press.bmwgroup.com/usa/article/attachment/T0456795EN_US/646416#page=3</x:v>
      </x:c>
      <x:c r="J64" s="29" t="str">
        <x:v>Base MSRP before freight.</x:v>
      </x:c>
    </x:row>
    <x:row r="65" ht="59" customHeight="1">
      <x:c r="A65" t="str">
        <x:v>E60</x:v>
      </x:c>
      <x:c r="B65" t="str">
        <x:v>EV-10</x:v>
      </x:c>
      <x:c r="C65" t="str">
        <x:v>Destination</x:v>
      </x:c>
      <x:c r="D65" t="n">
        <x:v>1350</x:v>
      </x:c>
      <x:c r="E65" t="str">
        <x:v>USD</x:v>
      </x:c>
      <x:c r="F65" s="29" t="str">
        <x:v>MINI USA · 2027 Countryman model updates</x:v>
      </x:c>
      <x:c r="G65" s="29" t="str">
        <x:v>p. 3 → destination and handling footnote</x:v>
      </x:c>
      <x:c r="H65" s="30" t="n">
        <x:v>46331</x:v>
      </x:c>
      <x:c r="I65" s="29" t="str">
        <x:v>https://www.press.bmwgroup.com/usa/article/attachment/T0456795EN_US/646416#page=3</x:v>
      </x:c>
      <x:c r="J65" s="29" t="str">
        <x:v>Added to base MSRP.</x:v>
      </x:c>
    </x:row>
    <x:row r="66" ht="59" customHeight="1">
      <x:c r="A66" t="str">
        <x:v>E61</x:v>
      </x:c>
      <x:c r="B66" t="str">
        <x:v>EV-10</x:v>
      </x:c>
      <x:c r="C66" t="str">
        <x:v>Battery</x:v>
      </x:c>
      <x:c r="D66" t="n">
        <x:v>64.7</x:v>
      </x:c>
      <x:c r="E66" t="str">
        <x:v>kWh</x:v>
      </x:c>
      <x:c r="F66" s="29" t="str">
        <x:v>MINI USA · Countryman SE ALL4 overview</x:v>
      </x:c>
      <x:c r="G66" s="29" t="str">
        <x:v>Range, charging &amp; benefits → Battery Capacity</x:v>
      </x:c>
      <x:c r="H66" s="30" t="n">
        <x:v>46331</x:v>
      </x:c>
      <x:c r="I66" s="29" t="str">
        <x:v>https://www.miniusa.com/model/electric-vehicles/countryman.html</x:v>
      </x:c>
      <x:c r="J66" s="29" t="str">
        <x:v>Manufacturer capacity. Net basis unspecified.</x:v>
      </x:c>
    </x:row>
    <x:row r="67" ht="59" customHeight="1">
      <x:c r="A67" t="str">
        <x:v>E62</x:v>
      </x:c>
      <x:c r="B67" t="str">
        <x:v>EV-10</x:v>
      </x:c>
      <x:c r="C67" t="str">
        <x:v>EPA range</x:v>
      </x:c>
      <x:c r="D67" t="n">
        <x:v>216</x:v>
      </x:c>
      <x:c r="E67" t="str">
        <x:v>mi</x:v>
      </x:c>
      <x:c r="F67" s="29" t="str">
        <x:v>MINI USA · Countryman SE ALL4 overview</x:v>
      </x:c>
      <x:c r="G67" s="29" t="str">
        <x:v>Range, charging &amp; benefits → EPA Range</x:v>
      </x:c>
      <x:c r="H67" s="30" t="n">
        <x:v>46331</x:v>
      </x:c>
      <x:c r="I67" s="29" t="str">
        <x:v>https://www.miniusa.com/model/electric-vehicles/countryman.html</x:v>
      </x:c>
      <x:c r="J67" s="29" t="str">
        <x:v>Up to 216 miles. Confirm wheel-specific label when selecting a VIN.</x:v>
      </x:c>
    </x:row>
    <x:row r="68" ht="59" customHeight="1">
      <x:c r="A68" t="str">
        <x:v>E63</x:v>
      </x:c>
      <x:c r="B68" t="str">
        <x:v>EV-10</x:v>
      </x:c>
      <x:c r="C68" t="str">
        <x:v>0–60 mph</x:v>
      </x:c>
      <x:c r="D68" t="n">
        <x:v>5.4</x:v>
      </x:c>
      <x:c r="E68" t="str">
        <x:v>s</x:v>
      </x:c>
      <x:c r="F68" s="29" t="str">
        <x:v>MINI USA · Countryman Electric specifications</x:v>
      </x:c>
      <x:c r="G68" s="29" t="str">
        <x:v>FAQ → How fast does it go from 0–60 mph?</x:v>
      </x:c>
      <x:c r="H68" s="30" t="n">
        <x:v>46331</x:v>
      </x:c>
      <x:c r="I68" s="29" t="str">
        <x:v>https://www.miniusa.com/model/electric-vehicles/countryman/specs.html</x:v>
      </x:c>
      <x:c r="J68" s="29" t="str">
        <x:v>Manufacturer figure.</x:v>
      </x:c>
    </x:row>
    <x:row r="69" ht="59" customHeight="1">
      <x:c r="A69" t="str">
        <x:v>E64</x:v>
      </x:c>
      <x:c r="B69" t="str">
        <x:v>EV-10</x:v>
      </x:c>
      <x:c r="C69" t="str">
        <x:v>Peak DC</x:v>
      </x:c>
      <x:c r="D69" t="n">
        <x:v>130</x:v>
      </x:c>
      <x:c r="E69" t="str">
        <x:v>kW</x:v>
      </x:c>
      <x:c r="F69" s="29" t="str">
        <x:v>MINI USA · Countryman SE ALL4 overview</x:v>
      </x:c>
      <x:c r="G69" s="29" t="str">
        <x:v>Range, charging &amp; benefits → DC Fast Charging</x:v>
      </x:c>
      <x:c r="H69" s="30" t="n">
        <x:v>46331</x:v>
      </x:c>
      <x:c r="I69" s="29" t="str">
        <x:v>https://www.miniusa.com/model/electric-vehicles/countryman.html</x:v>
      </x:c>
      <x:c r="J69" s="29" t="str">
        <x:v>Manufacturer charging figure.</x:v>
      </x:c>
    </x:row>
    <x:row r="70" ht="59" customHeight="1">
      <x:c r="A70" t="str">
        <x:v>E65</x:v>
      </x:c>
      <x:c r="B70" t="str">
        <x:v>EV-10</x:v>
      </x:c>
      <x:c r="C70" t="str">
        <x:v>New listing</x:v>
      </x:c>
      <x:c r="D70" t="str">
        <x:v>Listed</x:v>
      </x:c>
      <x:c r="E70"/>
      <x:c r="F70" s="29" t="str">
        <x:v>Schomp MINI · new Countryman SE ALL4</x:v>
      </x:c>
      <x:c r="G70" s="29" t="str">
        <x:v>2027 Countryman SE ALL4 → stock 7ME0003</x:v>
      </x:c>
      <x:c r="H70" s="30" t="n">
        <x:v>46331</x:v>
      </x:c>
      <x:c r="I70" s="29" t="str">
        <x:v>https://schomp.com/inventory/New-2027-MINI-Countryman-SE_ALL4-WMZ13HP09V7W63016-1063</x:v>
      </x:c>
      <x:c r="J70" s="29" t="str">
        <x:v>Confirms new U.S. listing of the model. Verify wheels on the specific car.</x:v>
      </x:c>
    </x:row>
    <x:row r="71" ht="61" customHeight="1">
      <x:c r="A71" t="str">
        <x:v>E66</x:v>
      </x:c>
      <x:c r="B71" t="str">
        <x:v>EV-03</x:v>
      </x:c>
      <x:c r="C71" t="str">
        <x:v>0–60 source check</x:v>
      </x:c>
      <x:c r="D71"/>
      <x:c r="E71" t="str">
        <x:v>s</x:v>
      </x:c>
      <x:c r="F71" s="29" t="str">
        <x:v>EVSpecifications · 2026 Nissan Leaf S+ Acceleration</x:v>
      </x:c>
      <x:c r="G71" s="29" t="str">
        <x:v>Top specs vs. lower 0–60 comparison table</x:v>
      </x:c>
      <x:c r="H71" s="30" t="n">
        <x:v>46331</x:v>
      </x:c>
      <x:c r="I71" s="29" t="str">
        <x:v>https://www.evspecifications.com/en/model-acceleration/c6fe3ec</x:v>
      </x:c>
      <x:c r="J71" s="29" t="str">
        <x:v>The page gives 7.40 s and 7.60 s for S+. Original test or Nissan figure still open.</x:v>
      </x:c>
    </x:row>
    <x:row r="72" ht="61" customHeight="1">
      <x:c r="A72" t="str">
        <x:v>E67</x:v>
      </x:c>
      <x:c r="B72" t="str">
        <x:v>EV-05</x:v>
      </x:c>
      <x:c r="C72" t="str">
        <x:v>0–60 estimate</x:v>
      </x:c>
      <x:c r="D72" t="n">
        <x:v>6.5</x:v>
      </x:c>
      <x:c r="E72" t="str">
        <x:v>s</x:v>
      </x:c>
      <x:c r="F72" s="29" t="str">
        <x:v>MotorTrend · 2026 Subaru Uncharted First Drive</x:v>
      </x:c>
      <x:c r="G72" s="29" t="str">
        <x:v>A Subaru Like No Other → entry-level 221-hp FWD paragraph</x:v>
      </x:c>
      <x:c r="H72" s="30" t="n">
        <x:v>46331</x:v>
      </x:c>
      <x:c r="I72" s="29" t="str">
        <x:v>https://www.motortrend.com/reviews/first-drive-2026-subaru-uncharted</x:v>
      </x:c>
      <x:c r="J72" s="29" t="str">
        <x:v>Explicit estimate. The event drive was AWD. Keep this separate from measured or manufacturer figures.</x:v>
      </x:c>
    </x:row>
    <x:row r="73" ht="61" customHeight="1">
      <x:c r="A73" t="str">
        <x:v>E68</x:v>
      </x:c>
      <x:c r="B73" t="str">
        <x:v>EV-04</x:v>
      </x:c>
      <x:c r="C73" t="str">
        <x:v>Peak DC lead</x:v>
      </x:c>
      <x:c r="D73" t="n">
        <x:v>127.5</x:v>
      </x:c>
      <x:c r="E73" t="str">
        <x:v>kW</x:v>
      </x:c>
      <x:c r="F73" s="29" t="str">
        <x:v>Kia Poland · EV3 model-year 2027 price/spec sheet</x:v>
      </x:c>
      <x:c r="G73" s="29" t="str">
        <x:v>Maximum DC charging power → 81.4 kWh FWD column</x:v>
      </x:c>
      <x:c r="H73" s="30" t="n">
        <x:v>46331</x:v>
      </x:c>
      <x:c r="I73" s="29" t="str">
        <x:v>https://www.kia.com/content/dam/kwcms/kme/pl/pl/assets/contents/utility/cennik_2026/_10/v2/Cennik_EV3_MY27_PY26_2026-04-07.pdf</x:v>
      </x:c>
      <x:c r="J73" s="29" t="str">
        <x:v>European-market specification. U.S. Wind FWD peak remains open.</x:v>
      </x:c>
    </x:row>
    <x:row r="74" ht="61" customHeight="1">
      <x:c r="A74" t="str">
        <x:v>E69</x:v>
      </x:c>
      <x:c r="B74" t="str">
        <x:v>EV-11</x:v>
      </x:c>
      <x:c r="C74" t="str">
        <x:v>Base MSRP</x:v>
      </x:c>
      <x:c r="D74" t="n">
        <x:v>37000</x:v>
      </x:c>
      <x:c r="E74" t="str">
        <x:v>USD</x:v>
      </x:c>
      <x:c r="F74" s="29" t="str">
        <x:v>Toyota · 2026 C-HR specifications</x:v>
      </x:c>
      <x:c r="G74" s="29" t="str">
        <x:v>SE column → MPG/Other/Price → Base MSRP</x:v>
      </x:c>
      <x:c r="H74" s="30" t="n">
        <x:v>46331</x:v>
      </x:c>
      <x:c r="I74" s="29" t="str">
        <x:v>https://www.toyota.com/c-hr/2026/features/mpg_other_price/2416/2419/</x:v>
      </x:c>
      <x:c r="J74" s="29" t="str">
        <x:v>Freight recorded separately.</x:v>
      </x:c>
    </x:row>
    <x:row r="75" ht="61" customHeight="1">
      <x:c r="A75" t="str">
        <x:v>E70</x:v>
      </x:c>
      <x:c r="B75" t="str">
        <x:v>EV-11</x:v>
      </x:c>
      <x:c r="C75" t="str">
        <x:v>Destination</x:v>
      </x:c>
      <x:c r="D75" t="n">
        <x:v>1595</x:v>
      </x:c>
      <x:c r="E75" t="str">
        <x:v>USD</x:v>
      </x:c>
      <x:c r="F75" s="29" t="str">
        <x:v>Toyota window sticker · C-HR SE AWD</x:v>
      </x:c>
      <x:c r="G75" s="29" t="str">
        <x:v>p. 1 → Delivery, Processing and Handling Fee</x:v>
      </x:c>
      <x:c r="H75" s="30" t="n">
        <x:v>46331</x:v>
      </x:c>
      <x:c r="I75" s="29" t="str">
        <x:v>https://www.maitatoyota.com/resrc/toyotawindowsticker/getByVIN/?vin=JTMAAAAD4TJ017598#page=1</x:v>
      </x:c>
      <x:c r="J75" s="29" t="str">
        <x:v>Use the freight line only. The sticker vehicle has options.</x:v>
      </x:c>
    </x:row>
    <x:row r="76" ht="61" customHeight="1">
      <x:c r="A76" t="str">
        <x:v>E71</x:v>
      </x:c>
      <x:c r="B76" t="str">
        <x:v>EV-11</x:v>
      </x:c>
      <x:c r="C76" t="str">
        <x:v>Battery</x:v>
      </x:c>
      <x:c r="D76" t="n">
        <x:v>74.7</x:v>
      </x:c>
      <x:c r="E76" t="str">
        <x:v>kWh</x:v>
      </x:c>
      <x:c r="F76" s="29" t="str">
        <x:v>Toyota window sticker · C-HR SE AWD</x:v>
      </x:c>
      <x:c r="G76" s="29" t="str">
        <x:v>p. 1 → Mechanical &amp; Performance → Lithium-Ion Traction Battery</x:v>
      </x:c>
      <x:c r="H76" s="30" t="n">
        <x:v>46331</x:v>
      </x:c>
      <x:c r="I76" s="29" t="str">
        <x:v>https://www.maitatoyota.com/resrc/toyotawindowsticker/getByVIN/?vin=JTMAAAAD4TJ017598#page=1</x:v>
      </x:c>
      <x:c r="J76" s="29" t="str">
        <x:v>Published pack figure.</x:v>
      </x:c>
    </x:row>
    <x:row r="77" ht="61" customHeight="1">
      <x:c r="A77" t="str">
        <x:v>E72</x:v>
      </x:c>
      <x:c r="B77" t="str">
        <x:v>EV-11</x:v>
      </x:c>
      <x:c r="C77" t="str">
        <x:v>EPA range</x:v>
      </x:c>
      <x:c r="D77" t="n">
        <x:v>287</x:v>
      </x:c>
      <x:c r="E77" t="str">
        <x:v>mi</x:v>
      </x:c>
      <x:c r="F77" s="29" t="str">
        <x:v>Toyota · 2026 C-HR specifications</x:v>
      </x:c>
      <x:c r="G77" s="29" t="str">
        <x:v>SE and XSE columns → Estimated range</x:v>
      </x:c>
      <x:c r="H77" s="30" t="n">
        <x:v>46331</x:v>
      </x:c>
      <x:c r="I77" s="29" t="str">
        <x:v>https://www.toyota.com/c-hr/2026/features/mpg_other_price/2416/2419/</x:v>
      </x:c>
      <x:c r="J77" s="29" t="str">
        <x:v>SE 287 mi, XSE 273 mi.</x:v>
      </x:c>
    </x:row>
    <x:row r="78" ht="61" customHeight="1">
      <x:c r="A78" t="str">
        <x:v>E73</x:v>
      </x:c>
      <x:c r="B78" t="str">
        <x:v>EV-11</x:v>
      </x:c>
      <x:c r="C78" t="str">
        <x:v>0–60 mph</x:v>
      </x:c>
      <x:c r="D78" t="n">
        <x:v>4.9</x:v>
      </x:c>
      <x:c r="E78" t="str">
        <x:v>s</x:v>
      </x:c>
      <x:c r="F78" s="29" t="str">
        <x:v>Toyota USA Newsroom · 2026 C-HR</x:v>
      </x:c>
      <x:c r="G78" s="29" t="str">
        <x:v>Introduction → manufacturer-estimated 0–60 time</x:v>
      </x:c>
      <x:c r="H78" s="30" t="n">
        <x:v>46331</x:v>
      </x:c>
      <x:c r="I78" s="29" t="str">
        <x:v>https://pressroom.toyota.com/2026-toyota-c-hr-puts-sporty-stylish-spin-on-the-compact-electric-suv/</x:v>
      </x:c>
      <x:c r="J78" s="29" t="str">
        <x:v>Toyota's estimate for the shared standard AWD powertrain.</x:v>
      </x:c>
    </x:row>
    <x:row r="79" ht="61" customHeight="1">
      <x:c r="A79" t="str">
        <x:v>E74</x:v>
      </x:c>
      <x:c r="B79" t="str">
        <x:v>EV-11</x:v>
      </x:c>
      <x:c r="C79" t="str">
        <x:v>Peak DC</x:v>
      </x:c>
      <x:c r="D79" t="n">
        <x:v>150</x:v>
      </x:c>
      <x:c r="E79" t="str">
        <x:v>kW</x:v>
      </x:c>
      <x:c r="F79" s="29" t="str">
        <x:v>North Hollywood Toyota · 2026 C-HR inventory guide</x:v>
      </x:c>
      <x:c r="G79" s="29" t="str">
        <x:v>Charging discussion and SE/XSE comparison</x:v>
      </x:c>
      <x:c r="H79" s="30" t="n">
        <x:v>46331</x:v>
      </x:c>
      <x:c r="I79" s="29" t="str">
        <x:v>https://www.northhollywoodtoyota.com/inventory/new/toyota/c-hr</x:v>
      </x:c>
      <x:c r="J79" s="29" t="str">
        <x:v>Dealer lists up to 150 kW and shared battery and powertrain. C/D also lists 150 kW on XSE.</x:v>
      </x:c>
    </x:row>
    <x:row r="80" ht="61" customHeight="1">
      <x:c r="A80" t="str">
        <x:v>E75</x:v>
      </x:c>
      <x:c r="B80" t="str">
        <x:v>EV-11</x:v>
      </x:c>
      <x:c r="C80" t="str">
        <x:v>New listing</x:v>
      </x:c>
      <x:c r="D80" t="str">
        <x:v>Listed</x:v>
      </x:c>
      <x:c r="E80"/>
      <x:c r="F80" s="29" t="str">
        <x:v>Stevens Creek Toyota · new C-HR SE</x:v>
      </x:c>
      <x:c r="G80" s="29" t="str">
        <x:v>New 2026 C-HR SE → AWD · VIN ending 014606</x:v>
      </x:c>
      <x:c r="H80" s="30" t="n">
        <x:v>46331</x:v>
      </x:c>
      <x:c r="I80" s="29" t="str">
        <x:v>https://www.stevenscreektoyota.com/new-San%2BJose-2026-Toyota-C%2BHR-SE-JTMAAAAD6TJ014606</x:v>
      </x:c>
      <x:c r="J80" s="29" t="str">
        <x:v>Exact trim listed new in San Jose.</x:v>
      </x:c>
    </x:row>
    <x:row r="81" ht="61" customHeight="1">
      <x:c r="A81" t="str">
        <x:v>E76</x:v>
      </x:c>
      <x:c r="B81" t="str">
        <x:v>EV-11</x:v>
      </x:c>
      <x:c r="C81" t="str">
        <x:v>Size screen</x:v>
      </x:c>
      <x:c r="D81" t="str">
        <x:v>Compact SUV</x:v>
      </x:c>
      <x:c r="E81"/>
      <x:c r="F81" s="29" t="str">
        <x:v>Toyota USA Newsroom · 2026 C-HR</x:v>
      </x:c>
      <x:c r="G81" s="29" t="str">
        <x:v>Title and introduction → compact electric SUV</x:v>
      </x:c>
      <x:c r="H81" s="30" t="n">
        <x:v>46331</x:v>
      </x:c>
      <x:c r="I81" s="29" t="str">
        <x:v>https://pressroom.toyota.com/2026-toyota-c-hr-puts-sporty-stylish-spin-on-the-compact-electric-suv/</x:v>
      </x:c>
      <x:c r="J81" s="29" t="str">
        <x:v>Fits the initial compact-crossover screen.</x:v>
      </x:c>
    </x:row>
    <x:row r="82" ht="62" customHeight="1">
      <x:c r="A82" t="str">
        <x:v>E77</x:v>
      </x:c>
      <x:c r="B82" t="str">
        <x:v>EV-12</x:v>
      </x:c>
      <x:c r="C82" t="str">
        <x:v>List price</x:v>
      </x:c>
      <x:c r="D82" t="n">
        <x:v>41495</x:v>
      </x:c>
      <x:c r="E82" t="str">
        <x:v>USD</x:v>
      </x:c>
      <x:c r="F82" s="29" t="str">
        <x:v>Honda News · 2026 Prologue Pricing and EPA Ratings</x:v>
      </x:c>
      <x:c r="G82" s="29" t="str">
        <x:v>EX → Single Motor, 2WD → MSRP including destination</x:v>
      </x:c>
      <x:c r="H82" s="30" t="n">
        <x:v>46331</x:v>
      </x:c>
      <x:c r="I82" s="29" t="str">
        <x:v>https://hondanews.com/en-US/releases/release-bb136e6e7af7ccb6b0336e10d811aafd-2026-honda-prologue-pricing-and-epa-ratings-september</x:v>
      </x:c>
      <x:c r="J82" s="29" t="str">
        <x:v>Includes destination.</x:v>
      </x:c>
    </x:row>
    <x:row r="83" ht="62" customHeight="1">
      <x:c r="A83" t="str">
        <x:v>E78</x:v>
      </x:c>
      <x:c r="B83" t="str">
        <x:v>EV-12</x:v>
      </x:c>
      <x:c r="C83" t="str">
        <x:v>Battery</x:v>
      </x:c>
      <x:c r="D83" t="n">
        <x:v>85</x:v>
      </x:c>
      <x:c r="E83" t="str">
        <x:v>kWh</x:v>
      </x:c>
      <x:c r="F83" s="29" t="str">
        <x:v>Honda News · 2026 Prologue Specifications &amp; Features</x:v>
      </x:c>
      <x:c r="G83" s="29" t="str">
        <x:v>EV Range Rating/Charging Metrics → Battery Capacity</x:v>
      </x:c>
      <x:c r="H83" s="30" t="n">
        <x:v>46331</x:v>
      </x:c>
      <x:c r="I83" s="29" t="str">
        <x:v>https://hondanews.com/en-US/honda-automobiles/releases/release-e5d30c25af38c0c6604e43e79c015883-2026-honda-prologue-specifications-features</x:v>
      </x:c>
      <x:c r="J83" s="29" t="str">
        <x:v>Manufacturer capacity.</x:v>
      </x:c>
    </x:row>
    <x:row r="84" ht="62" customHeight="1">
      <x:c r="A84" t="str">
        <x:v>E79</x:v>
      </x:c>
      <x:c r="B84" t="str">
        <x:v>EV-12</x:v>
      </x:c>
      <x:c r="C84" t="str">
        <x:v>EPA range</x:v>
      </x:c>
      <x:c r="D84" t="n">
        <x:v>308</x:v>
      </x:c>
      <x:c r="E84" t="str">
        <x:v>mi</x:v>
      </x:c>
      <x:c r="F84" s="29" t="str">
        <x:v>Honda News · 2026 Prologue Pricing and EPA Ratings</x:v>
      </x:c>
      <x:c r="G84" s="29" t="str">
        <x:v>EX Single Motor, 2WD → EPA Range</x:v>
      </x:c>
      <x:c r="H84" s="30" t="n">
        <x:v>46331</x:v>
      </x:c>
      <x:c r="I84" s="29" t="str">
        <x:v>https://hondanews.com/en-US/releases/release-bb136e6e7af7ccb6b0336e10d811aafd-2026-honda-prologue-pricing-and-epa-ratings-september</x:v>
      </x:c>
      <x:c r="J84" s="29" t="str">
        <x:v>EX and Touring FWD tie. EX costs less.</x:v>
      </x:c>
    </x:row>
    <x:row r="85" ht="62" customHeight="1">
      <x:c r="A85" t="str">
        <x:v>E80</x:v>
      </x:c>
      <x:c r="B85" t="str">
        <x:v>EV-12</x:v>
      </x:c>
      <x:c r="C85" t="str">
        <x:v>New listing</x:v>
      </x:c>
      <x:c r="D85" t="str">
        <x:v>Listed</x:v>
      </x:c>
      <x:c r="E85"/>
      <x:c r="F85" s="29" t="str">
        <x:v>Bakhtiari Auto · Honda Prologue 2WD EX</x:v>
      </x:c>
      <x:c r="G85" s="29" t="str">
        <x:v>2026 Honda Prologue 2WD EX → new listing, VIN ending 512829</x:v>
      </x:c>
      <x:c r="H85" s="30" t="n">
        <x:v>46331</x:v>
      </x:c>
      <x:c r="I85" s="29" t="str">
        <x:v>https://www.bakhtiariauto.com/new-San%2BJose-2026-Honda-Prologue-2WD%2BEX-3GPKHURM3TS512829</x:v>
      </x:c>
      <x:c r="J85" s="29" t="str">
        <x:v>New San Jose listing.</x:v>
      </x:c>
    </x:row>
    <x:row r="86" ht="62" customHeight="1">
      <x:c r="A86" t="str">
        <x:v>E81</x:v>
      </x:c>
      <x:c r="B86" t="str">
        <x:v>EV-12</x:v>
      </x:c>
      <x:c r="C86" t="str">
        <x:v>Charging source check</x:v>
      </x:c>
      <x:c r="D86"/>
      <x:c r="E86"/>
      <x:c r="F86" s="29" t="str">
        <x:v>Honda News · 2026 Prologue Specifications &amp; Features</x:v>
      </x:c>
      <x:c r="G86" s="29" t="str">
        <x:v>EV Range Rating/Charging Metrics → DC Fast Charge Time</x:v>
      </x:c>
      <x:c r="H86" s="30" t="n">
        <x:v>46331</x:v>
      </x:c>
      <x:c r="I86" s="29" t="str">
        <x:v>https://hondanews.com/en-US/honda-automobiles/releases/release-e5d30c25af38c0c6604e43e79c015883-2026-honda-prologue-specifications-features</x:v>
      </x:c>
      <x:c r="J86" s="29" t="str">
        <x:v>Honda publishes time and miles added. Exact EX FWD peak kW and 0–60 remain open.</x:v>
      </x:c>
    </x:row>
    <x:row r="87" ht="62" customHeight="1">
      <x:c r="A87" t="str">
        <x:v>E82</x:v>
      </x:c>
      <x:c r="B87" t="str">
        <x:v>EV-13</x:v>
      </x:c>
      <x:c r="C87" t="str">
        <x:v>List price</x:v>
      </x:c>
      <x:c r="D87" t="n">
        <x:v>46570</x:v>
      </x:c>
      <x:c r="E87" t="str">
        <x:v>USD</x:v>
      </x:c>
      <x:c r="F87" s="29" t="str">
        <x:v>Cars.com · 2026 Volkswagen ID.4</x:v>
      </x:c>
      <x:c r="G87" s="29" t="str">
        <x:v>Pricing → starting price including $1,475 destination</x:v>
      </x:c>
      <x:c r="H87" s="30" t="n">
        <x:v>46331</x:v>
      </x:c>
      <x:c r="I87" s="29" t="str">
        <x:v>https://www.cars.com/research/volkswagen-id.4-2026/</x:v>
      </x:c>
      <x:c r="J87" s="29" t="str">
        <x:v>Base Pro RWD pricing. Earlier dealer MSRP was vehicle-specific.</x:v>
      </x:c>
    </x:row>
    <x:row r="88" ht="62" customHeight="1">
      <x:c r="A88" t="str">
        <x:v>E83</x:v>
      </x:c>
      <x:c r="B88" t="str">
        <x:v>EV-13</x:v>
      </x:c>
      <x:c r="C88" t="str">
        <x:v>Battery</x:v>
      </x:c>
      <x:c r="D88" t="n">
        <x:v>82</x:v>
      </x:c>
      <x:c r="E88" t="str">
        <x:v>kWh</x:v>
      </x:c>
      <x:c r="F88" s="29" t="str">
        <x:v>Cars.com · 2026 Volkswagen ID.4</x:v>
      </x:c>
      <x:c r="G88" s="29" t="str">
        <x:v>Powertrain discussion → 82-kWh pack</x:v>
      </x:c>
      <x:c r="H88" s="30" t="n">
        <x:v>46331</x:v>
      </x:c>
      <x:c r="I88" s="29" t="str">
        <x:v>https://www.cars.com/research/volkswagen-id.4-2026/</x:v>
      </x:c>
      <x:c r="J88" s="29" t="str">
        <x:v>Published pack size.</x:v>
      </x:c>
    </x:row>
    <x:row r="89" ht="62" customHeight="1">
      <x:c r="A89" t="str">
        <x:v>E84</x:v>
      </x:c>
      <x:c r="B89" t="str">
        <x:v>EV-13</x:v>
      </x:c>
      <x:c r="C89" t="str">
        <x:v>EPA range</x:v>
      </x:c>
      <x:c r="D89" t="n">
        <x:v>291</x:v>
      </x:c>
      <x:c r="E89" t="str">
        <x:v>mi</x:v>
      </x:c>
      <x:c r="F89" s="29" t="str">
        <x:v>Volkswagen USA · 2026 ID.4 Quick Start Guide</x:v>
      </x:c>
      <x:c r="G89" s="29" t="str">
        <x:v>Range footnote 3 → Pro RWD and Pro S RWD</x:v>
      </x:c>
      <x:c r="H89" s="30" t="n">
        <x:v>46331</x:v>
      </x:c>
      <x:c r="I89" s="29" t="str">
        <x:v>https://www.vw.com/en/owners-and-services/about-my-vehicle/quick-start-guides.html/__app/2026/id-4/iq-drive.app</x:v>
      </x:c>
      <x:c r="J89" s="29" t="str">
        <x:v>Pro RWD ties Pro S RWD at lower price.</x:v>
      </x:c>
    </x:row>
    <x:row r="90" ht="62" customHeight="1">
      <x:c r="A90" t="str">
        <x:v>E85</x:v>
      </x:c>
      <x:c r="B90" t="str">
        <x:v>EV-13</x:v>
      </x:c>
      <x:c r="C90" t="str">
        <x:v>0–60 mph</x:v>
      </x:c>
      <x:c r="D90" t="n">
        <x:v>5.9</x:v>
      </x:c>
      <x:c r="E90" t="str">
        <x:v>s</x:v>
      </x:c>
      <x:c r="F90" s="29" t="str">
        <x:v>Kelley Blue Book · 2026 Volkswagen ID.4 Pro</x:v>
      </x:c>
      <x:c r="G90" s="29" t="str">
        <x:v>Compare to Similar Vehicles → 0–60 → 2026 ID.4 Pro</x:v>
      </x:c>
      <x:c r="H90" s="30" t="n">
        <x:v>46331</x:v>
      </x:c>
      <x:c r="I90" s="29" t="str">
        <x:v>https://www.kbb.com/volkswagen/id4/2026/pro/</x:v>
      </x:c>
      <x:c r="J90" s="29" t="str">
        <x:v>Published trim figure. Test provenance unspecified.</x:v>
      </x:c>
    </x:row>
    <x:row r="91" ht="62" customHeight="1">
      <x:c r="A91" t="str">
        <x:v>E86</x:v>
      </x:c>
      <x:c r="B91" t="str">
        <x:v>EV-13</x:v>
      </x:c>
      <x:c r="C91" t="str">
        <x:v>Peak DC</x:v>
      </x:c>
      <x:c r="D91" t="n">
        <x:v>175</x:v>
      </x:c>
      <x:c r="E91" t="str">
        <x:v>kW</x:v>
      </x:c>
      <x:c r="F91" s="29" t="str">
        <x:v>Team Volkswagen · 2026 ID.4</x:v>
      </x:c>
      <x:c r="G91" s="29" t="str">
        <x:v>Engine, Battery Life &amp; Performance → RWD DC Charging Rate</x:v>
      </x:c>
      <x:c r="H91" s="30" t="n">
        <x:v>46331</x:v>
      </x:c>
      <x:c r="I91" s="29" t="str">
        <x:v>https://www.teamvw.com/research-aa-id-4/</x:v>
      </x:c>
      <x:c r="J91" s="29" t="str">
        <x:v>Dealer specification for RWD. Cars.com reports the same peak.</x:v>
      </x:c>
    </x:row>
    <x:row r="92" ht="62" customHeight="1">
      <x:c r="A92" t="str">
        <x:v>E87</x:v>
      </x:c>
      <x:c r="B92" t="str">
        <x:v>EV-13</x:v>
      </x:c>
      <x:c r="C92" t="str">
        <x:v>New listing</x:v>
      </x:c>
      <x:c r="D92" t="str">
        <x:v>Listed</x:v>
      </x:c>
      <x:c r="E92"/>
      <x:c r="F92" s="29" t="str">
        <x:v>Volkswagen of Marietta · 2026 ID.4 Pro</x:v>
      </x:c>
      <x:c r="G92" s="29" t="str">
        <x:v>New Pro RWD → stock 26349</x:v>
      </x:c>
      <x:c r="H92" s="30" t="n">
        <x:v>46331</x:v>
      </x:c>
      <x:c r="I92" s="29" t="str">
        <x:v>https://www.volkswagenofmarietta.com/inventory/new-2026-volkswagen-id-4-pro-rwd-4d-sport-utility-1v2crpe87tc003411/</x:v>
      </x:c>
      <x:c r="J92" s="29" t="str">
        <x:v>New U.S. listing. Use the base comparison price above.</x:v>
      </x:c>
    </x:row>
    <x:row r="93" ht="62" customHeight="1">
      <x:c r="A93" t="str">
        <x:v>E88</x:v>
      </x:c>
      <x:c r="B93" t="str">
        <x:v>EV-14</x:v>
      </x:c>
      <x:c r="C93" t="str">
        <x:v>Base MSRP</x:v>
      </x:c>
      <x:c r="D93" t="n">
        <x:v>40595</x:v>
      </x:c>
      <x:c r="E93" t="str">
        <x:v>USD</x:v>
      </x:c>
      <x:c r="F93" s="29" t="str">
        <x:v>Ford · 2026 Mach-E Premium RWD window sticker</x:v>
      </x:c>
      <x:c r="G93" s="29" t="str">
        <x:v>p. 1 → Price Information → Base Price</x:v>
      </x:c>
      <x:c r="H93" s="30" t="n">
        <x:v>46331</x:v>
      </x:c>
      <x:c r="I93" s="29" t="str">
        <x:v>https://www.windowsticker.forddirect.com/windowsticker.pdf?vin=3FMTK3R77TMA00356#page=1</x:v>
      </x:c>
      <x:c r="J93" s="29" t="str">
        <x:v>Base trim, before battery option and freight.</x:v>
      </x:c>
    </x:row>
    <x:row r="94" ht="62" customHeight="1">
      <x:c r="A94" t="str">
        <x:v>E89</x:v>
      </x:c>
      <x:c r="B94" t="str">
        <x:v>EV-14</x:v>
      </x:c>
      <x:c r="C94" t="str">
        <x:v>Extended battery option</x:v>
      </x:c>
      <x:c r="D94" t="n">
        <x:v>4750</x:v>
      </x:c>
      <x:c r="E94" t="str">
        <x:v>USD</x:v>
      </x:c>
      <x:c r="F94" s="29" t="str">
        <x:v>Ford · 2026 Mach-E Premium RWD window sticker</x:v>
      </x:c>
      <x:c r="G94" s="29" t="str">
        <x:v>p. 1 → Optional Equipment → 88 kWh extended-range battery</x:v>
      </x:c>
      <x:c r="H94" s="30" t="n">
        <x:v>46331</x:v>
      </x:c>
      <x:c r="I94" s="29" t="str">
        <x:v>https://www.windowsticker.forddirect.com/windowsticker.pdf?vin=3FMTK3R77TMA00356#page=1</x:v>
      </x:c>
      <x:c r="J94" s="29" t="str">
        <x:v>Battery option included. Other sticker options omitted.</x:v>
      </x:c>
    </x:row>
    <x:row r="95" ht="62" customHeight="1">
      <x:c r="A95" t="str">
        <x:v>E90</x:v>
      </x:c>
      <x:c r="B95" t="str">
        <x:v>EV-14</x:v>
      </x:c>
      <x:c r="C95" t="str">
        <x:v>Destination</x:v>
      </x:c>
      <x:c r="D95" t="n">
        <x:v>2045</x:v>
      </x:c>
      <x:c r="E95" t="str">
        <x:v>USD</x:v>
      </x:c>
      <x:c r="F95" s="29" t="str">
        <x:v>Ford · 2026 Mach-E Premium RWD window sticker</x:v>
      </x:c>
      <x:c r="G95" s="29" t="str">
        <x:v>p. 1 → Price Information → Destination &amp; Delivery</x:v>
      </x:c>
      <x:c r="H95" s="30" t="n">
        <x:v>46331</x:v>
      </x:c>
      <x:c r="I95" s="29" t="str">
        <x:v>https://www.windowsticker.forddirect.com/windowsticker.pdf?vin=3FMTK3R77TMA00356#page=1</x:v>
      </x:c>
      <x:c r="J95" s="29" t="str">
        <x:v>Use the sticker freight line.</x:v>
      </x:c>
    </x:row>
    <x:row r="96" ht="62" customHeight="1">
      <x:c r="A96" t="str">
        <x:v>E91</x:v>
      </x:c>
      <x:c r="B96" t="str">
        <x:v>EV-14</x:v>
      </x:c>
      <x:c r="C96" t="str">
        <x:v>Battery</x:v>
      </x:c>
      <x:c r="D96" t="n">
        <x:v>88</x:v>
      </x:c>
      <x:c r="E96" t="str">
        <x:v>kWh</x:v>
      </x:c>
      <x:c r="F96" s="29" t="str">
        <x:v>Ford · 2026 Mustang Mach-E Order Guide</x:v>
      </x:c>
      <x:c r="G96" s="29" t="str">
        <x:v>Premium RWD → extended-range battery → usable capacity</x:v>
      </x:c>
      <x:c r="H96" s="30" t="n">
        <x:v>46331</x:v>
      </x:c>
      <x:c r="I96" s="29" t="str">
        <x:v>https://www.fromtheroad.ford.com/content/dam/fordmediasite/us/en/library/2026/order-guides/2026_Ford_Mustang_Mach-E_Order_Guide.pdf</x:v>
      </x:c>
      <x:c r="J96" s="29" t="str">
        <x:v>Usable capacity.</x:v>
      </x:c>
    </x:row>
    <x:row r="97" ht="62" customHeight="1">
      <x:c r="A97" t="str">
        <x:v>E92</x:v>
      </x:c>
      <x:c r="B97" t="str">
        <x:v>EV-14</x:v>
      </x:c>
      <x:c r="C97" t="str">
        <x:v>EPA range</x:v>
      </x:c>
      <x:c r="D97" t="n">
        <x:v>320</x:v>
      </x:c>
      <x:c r="E97" t="str">
        <x:v>mi</x:v>
      </x:c>
      <x:c r="F97" s="29" t="str">
        <x:v>Ford · 2026 Mach-E Premium RWD window sticker</x:v>
      </x:c>
      <x:c r="G97" s="29" t="str">
        <x:v>p. 1 → EPA/DOT label → Driving Range</x:v>
      </x:c>
      <x:c r="H97" s="30" t="n">
        <x:v>46331</x:v>
      </x:c>
      <x:c r="I97" s="29" t="str">
        <x:v>https://www.windowsticker.forddirect.com/windowsticker.pdf?vin=3FMTK3R77TMA00356#page=1</x:v>
      </x:c>
      <x:c r="J97" s="29" t="str">
        <x:v>Extended-range RWD.</x:v>
      </x:c>
    </x:row>
    <x:row r="98" ht="62" customHeight="1">
      <x:c r="A98" t="str">
        <x:v>E93</x:v>
      </x:c>
      <x:c r="B98" t="str">
        <x:v>EV-14</x:v>
      </x:c>
      <x:c r="C98" t="str">
        <x:v>0–60 mph</x:v>
      </x:c>
      <x:c r="D98" t="n">
        <x:v>5.4</x:v>
      </x:c>
      <x:c r="E98" t="str">
        <x:v>s</x:v>
      </x:c>
      <x:c r="F98" s="29" t="str">
        <x:v>Ford · 2026 Mustang Mach-E</x:v>
      </x:c>
      <x:c r="G98" s="29" t="str">
        <x:v>FAQ → What is the 0–60 → Premium, Extended-range, RWD</x:v>
      </x:c>
      <x:c r="H98" s="30" t="n">
        <x:v>46331</x:v>
      </x:c>
      <x:c r="I98" s="29" t="str">
        <x:v>https://www.ford.com/suvs/mach-e/offers/</x:v>
      </x:c>
      <x:c r="J98" s="29" t="str">
        <x:v>Manufacturer figure for matching trim and battery.</x:v>
      </x:c>
    </x:row>
    <x:row r="99" ht="62" customHeight="1">
      <x:c r="A99" t="str">
        <x:v>E94</x:v>
      </x:c>
      <x:c r="B99" t="str">
        <x:v>EV-14</x:v>
      </x:c>
      <x:c r="C99" t="str">
        <x:v>Peak DC</x:v>
      </x:c>
      <x:c r="D99" t="n">
        <x:v>150</x:v>
      </x:c>
      <x:c r="E99" t="str">
        <x:v>kW</x:v>
      </x:c>
      <x:c r="F99" s="29" t="str">
        <x:v>Ford · 2026 Mach-E Premium RWD window sticker</x:v>
      </x:c>
      <x:c r="G99" s="29" t="str">
        <x:v>p. 1 → Functional → up to 150 kW DC charging</x:v>
      </x:c>
      <x:c r="H99" s="30" t="n">
        <x:v>46331</x:v>
      </x:c>
      <x:c r="I99" s="29" t="str">
        <x:v>https://www.windowsticker.forddirect.com/windowsticker.pdf?vin=3FMTK3R77TMA00356#page=1</x:v>
      </x:c>
      <x:c r="J99" s="29" t="str">
        <x:v>Manufacturer rating.</x:v>
      </x:c>
    </x:row>
    <x:row r="100" ht="62" customHeight="1">
      <x:c r="A100" t="str">
        <x:v>E95</x:v>
      </x:c>
      <x:c r="B100" t="str">
        <x:v>EV-14</x:v>
      </x:c>
      <x:c r="C100" t="str">
        <x:v>New listing</x:v>
      </x:c>
      <x:c r="D100" t="str">
        <x:v>Listed</x:v>
      </x:c>
      <x:c r="E100"/>
      <x:c r="F100" s="29" t="str">
        <x:v>Downtown Ford of Sacramento · 2026 Mach-E</x:v>
      </x:c>
      <x:c r="G100" s="29" t="str">
        <x:v>New Premium Extended Range Battery (RWD) → VIN ending 26441</x:v>
      </x:c>
      <x:c r="H100" s="30" t="n">
        <x:v>46331</x:v>
      </x:c>
      <x:c r="I100" s="29" t="str">
        <x:v>https://www.downtownfordsacramento.com/inventory/new-2026-ford-mustang-mach-e-premium-rwd-premium-3fmtk3r77tma26441/</x:v>
      </x:c>
      <x:c r="J100" s="29" t="str">
        <x:v>New California listing for matching trim, battery and drivetrain.</x:v>
      </x:c>
    </x:row>
    <x:row r="101" ht="63" customHeight="1">
      <x:c r="A101" t="str">
        <x:v>E96</x:v>
      </x:c>
      <x:c r="B101" t="str">
        <x:v>EV-15</x:v>
      </x:c>
      <x:c r="C101" t="str">
        <x:v>Base MSRP</x:v>
      </x:c>
      <x:c r="D101" t="n">
        <x:v>41200</x:v>
      </x:c>
      <x:c r="E101" t="str">
        <x:v>USD</x:v>
      </x:c>
      <x:c r="F101" s="29" t="str">
        <x:v>Kia America · 2026 EV6 pricing</x:v>
      </x:c>
      <x:c r="G101" s="29" t="str">
        <x:v>Pricing table → EV6 Light LR RWD</x:v>
      </x:c>
      <x:c r="H101" s="30" t="n">
        <x:v>46331</x:v>
      </x:c>
      <x:c r="I101" s="29" t="str">
        <x:v>https://www.kiamedia.com/us/en/media/pressreleases/24658/kia-announces-pricing-for-2026-ev6</x:v>
      </x:c>
      <x:c r="J101" s="29" t="str">
        <x:v>Before destination.</x:v>
      </x:c>
    </x:row>
    <x:row r="102" ht="63" customHeight="1">
      <x:c r="A102" t="str">
        <x:v>E97</x:v>
      </x:c>
      <x:c r="B102" t="str">
        <x:v>EV-15</x:v>
      </x:c>
      <x:c r="C102" t="str">
        <x:v>Destination</x:v>
      </x:c>
      <x:c r="D102" t="n">
        <x:v>1545</x:v>
      </x:c>
      <x:c r="E102" t="str">
        <x:v>USD</x:v>
      </x:c>
      <x:c r="F102" s="29" t="str">
        <x:v>Kia America · 2026 EV6 pricing</x:v>
      </x:c>
      <x:c r="G102" s="29" t="str">
        <x:v>Opening price bullet → destination</x:v>
      </x:c>
      <x:c r="H102" s="30" t="n">
        <x:v>46331</x:v>
      </x:c>
      <x:c r="I102" s="29" t="str">
        <x:v>https://www.kiamedia.com/us/en/media/pressreleases/24658/kia-announces-pricing-for-2026-ev6</x:v>
      </x:c>
      <x:c r="J102" s="29" t="str">
        <x:v>Added to base MSRP.</x:v>
      </x:c>
    </x:row>
    <x:row r="103" ht="63" customHeight="1">
      <x:c r="A103" t="str">
        <x:v>E98</x:v>
      </x:c>
      <x:c r="B103" t="str">
        <x:v>EV-15</x:v>
      </x:c>
      <x:c r="C103" t="str">
        <x:v>Battery</x:v>
      </x:c>
      <x:c r="D103" t="n">
        <x:v>84</x:v>
      </x:c>
      <x:c r="E103" t="str">
        <x:v>kWh</x:v>
      </x:c>
      <x:c r="F103" s="29" t="str">
        <x:v>Kia America · 2026 EV6 specifications</x:v>
      </x:c>
      <x:c r="G103" s="29" t="str">
        <x:v>Light Long Range → Battery Energy</x:v>
      </x:c>
      <x:c r="H103" s="30" t="n">
        <x:v>46331</x:v>
      </x:c>
      <x:c r="I103" s="29" t="str">
        <x:v>https://www.kiamedia.com/us/en/models/ev6/2026/specifications</x:v>
      </x:c>
      <x:c r="J103" s="29" t="str">
        <x:v>Manufacturer pack size.</x:v>
      </x:c>
    </x:row>
    <x:row r="104" ht="63" customHeight="1">
      <x:c r="A104" t="str">
        <x:v>E99</x:v>
      </x:c>
      <x:c r="B104" t="str">
        <x:v>EV-15</x:v>
      </x:c>
      <x:c r="C104" t="str">
        <x:v>EPA range</x:v>
      </x:c>
      <x:c r="D104" t="n">
        <x:v>319</x:v>
      </x:c>
      <x:c r="E104" t="str">
        <x:v>mi</x:v>
      </x:c>
      <x:c r="F104" s="29" t="str">
        <x:v>Kia USA · 2026 EV6 comparison</x:v>
      </x:c>
      <x:c r="G104" s="29" t="str">
        <x:v>Light Long Range → EPA-Estimated Range RWD</x:v>
      </x:c>
      <x:c r="H104" s="30" t="n">
        <x:v>46331</x:v>
      </x:c>
      <x:c r="I104" s="29" t="str">
        <x:v>https://www.kia.com/us/en/ev6/specs-compare</x:v>
      </x:c>
      <x:c r="J104" s="29" t="str">
        <x:v>Longest listed range, tied with more expensive configurations.</x:v>
      </x:c>
    </x:row>
    <x:row r="105" ht="63" customHeight="1">
      <x:c r="A105" t="str">
        <x:v>E100</x:v>
      </x:c>
      <x:c r="B105" t="str">
        <x:v>EV-15</x:v>
      </x:c>
      <x:c r="C105" t="str">
        <x:v>0–60 mph</x:v>
      </x:c>
      <x:c r="D105" t="n">
        <x:v>7.3</x:v>
      </x:c>
      <x:c r="E105" t="str">
        <x:v>s</x:v>
      </x:c>
      <x:c r="F105" s="29" t="str">
        <x:v>Kia USA · 2026 EV6 comparison</x:v>
      </x:c>
      <x:c r="G105" s="29" t="str">
        <x:v>Light Long Range → 0–60 mph from Standstill, RWD</x:v>
      </x:c>
      <x:c r="H105" s="30" t="n">
        <x:v>46331</x:v>
      </x:c>
      <x:c r="I105" s="29" t="str">
        <x:v>https://www.kia.com/us/en/ev6/specs-compare</x:v>
      </x:c>
      <x:c r="J105" s="29" t="str">
        <x:v>Manufacturer figure.</x:v>
      </x:c>
    </x:row>
    <x:row r="106" ht="63" customHeight="1">
      <x:c r="A106" t="str">
        <x:v>E101</x:v>
      </x:c>
      <x:c r="B106" t="str">
        <x:v>EV-15</x:v>
      </x:c>
      <x:c r="C106" t="str">
        <x:v>Peak DC</x:v>
      </x:c>
      <x:c r="D106" t="n">
        <x:v>240</x:v>
      </x:c>
      <x:c r="E106" t="str">
        <x:v>kW</x:v>
      </x:c>
      <x:c r="F106" s="29" t="str">
        <x:v>Kia America · 2026 EV6 specifications</x:v>
      </x:c>
      <x:c r="G106" s="29" t="str">
        <x:v>Light Long Range → Maximum Charging Input Power (DC Fast Charge)</x:v>
      </x:c>
      <x:c r="H106" s="30" t="n">
        <x:v>46331</x:v>
      </x:c>
      <x:c r="I106" s="29" t="str">
        <x:v>https://www.kiamedia.com/us/en/models/ev6/2026/specifications</x:v>
      </x:c>
      <x:c r="J106" s="29" t="str">
        <x:v>Manufacturer figure.</x:v>
      </x:c>
    </x:row>
    <x:row r="107" ht="63" customHeight="1">
      <x:c r="A107" t="str">
        <x:v>E102</x:v>
      </x:c>
      <x:c r="B107" t="str">
        <x:v>EV-15</x:v>
      </x:c>
      <x:c r="C107" t="str">
        <x:v>New listing</x:v>
      </x:c>
      <x:c r="D107" t="str">
        <x:v>Listed</x:v>
      </x:c>
      <x:c r="E107"/>
      <x:c r="F107" s="29" t="str">
        <x:v>Kia USA · New Local Inventory</x:v>
      </x:c>
      <x:c r="G107" s="29" t="str">
        <x:v>2026 EV6 Light Long Range → VIN ending 014764</x:v>
      </x:c>
      <x:c r="H107" s="30" t="n">
        <x:v>46331</x:v>
      </x:c>
      <x:c r="I107" s="29" t="str">
        <x:v>https://www.kia.com/us/en/inventory/vehicle-details?vin=5XYC34JAXTG014764&amp;zipCode=06103</x:v>
      </x:c>
      <x:c r="J107" s="29" t="str">
        <x:v>Exact trim appears in Kia U.S. inventory. Stock may change.</x:v>
      </x:c>
    </x:row>
    <x:row r="108" ht="63" customHeight="1">
      <x:c r="A108" t="str">
        <x:v>E103</x:v>
      </x:c>
      <x:c r="B108" t="str">
        <x:v>EV-16</x:v>
      </x:c>
      <x:c r="C108" t="str">
        <x:v>List price</x:v>
      </x:c>
      <x:c r="D108" t="n">
        <x:v>47395</x:v>
      </x:c>
      <x:c r="E108" t="str">
        <x:v>USD</x:v>
      </x:c>
      <x:c r="F108" s="29" t="str">
        <x:v>Lexus USA Newsroom · 2026 RZ</x:v>
      </x:c>
      <x:c r="G108" s="29" t="str">
        <x:v>2026 Lexus Pricing Chart → model 9905 RZ 350e → MSRP + DPH</x:v>
      </x:c>
      <x:c r="H108" s="30" t="n">
        <x:v>46331</x:v>
      </x:c>
      <x:c r="I108" s="29" t="str">
        <x:v>https://pressroom.lexus.com/2026-lexus-rz-adds-more-power-and-performance-2/</x:v>
      </x:c>
      <x:c r="J108" s="29" t="str">
        <x:v>May 1, 2026 update. Includes $1,395 destination.</x:v>
      </x:c>
    </x:row>
    <x:row r="109" ht="63" customHeight="1">
      <x:c r="A109" t="str">
        <x:v>E104</x:v>
      </x:c>
      <x:c r="B109" t="str">
        <x:v>EV-16</x:v>
      </x:c>
      <x:c r="C109" t="str">
        <x:v>Battery</x:v>
      </x:c>
      <x:c r="D109" t="n">
        <x:v>74.69</x:v>
      </x:c>
      <x:c r="E109" t="str">
        <x:v>kWh</x:v>
      </x:c>
      <x:c r="F109" s="29" t="str">
        <x:v>Lexus · 2026 RZ launch release</x:v>
      </x:c>
      <x:c r="G109" s="29" t="str">
        <x:v>Technical specifications → Total Electrical Power → RZ 350e</x:v>
      </x:c>
      <x:c r="H109" s="30" t="n">
        <x:v>46331</x:v>
      </x:c>
      <x:c r="I109" s="29" t="str">
        <x:v>https://www.prnewswire.com/news-releases/2026-lexus-rz-adds-more-power-and-performance-302459631.html</x:v>
      </x:c>
      <x:c r="J109" s="29" t="str">
        <x:v>Manufacturer release distributed by PR Newswire. Published pack size.</x:v>
      </x:c>
    </x:row>
    <x:row r="110" ht="63" customHeight="1">
      <x:c r="A110" t="str">
        <x:v>E105</x:v>
      </x:c>
      <x:c r="B110" t="str">
        <x:v>EV-16</x:v>
      </x:c>
      <x:c r="C110" t="str">
        <x:v>EPA range</x:v>
      </x:c>
      <x:c r="D110" t="n">
        <x:v>301</x:v>
      </x:c>
      <x:c r="E110" t="str">
        <x:v>mi</x:v>
      </x:c>
      <x:c r="F110" s="29" t="str">
        <x:v>EPA ENERGY STAR · 2026 Lexus RZ 350e FWD</x:v>
      </x:c>
      <x:c r="G110" s="29" t="str">
        <x:v>Electric Range → 18-inch wheels</x:v>
      </x:c>
      <x:c r="H110" s="30" t="n">
        <x:v>46331</x:v>
      </x:c>
      <x:c r="I110" s="29" t="str">
        <x:v>https://www.energystar.gov/products/ev_chargers/electric-vehicles-and-hybrids/details/50291</x:v>
      </x:c>
      <x:c r="J110" s="29" t="str">
        <x:v>Applies to 18-inch configuration.</x:v>
      </x:c>
    </x:row>
    <x:row r="111" ht="63" customHeight="1">
      <x:c r="A111" t="str">
        <x:v>E106</x:v>
      </x:c>
      <x:c r="B111" t="str">
        <x:v>EV-16</x:v>
      </x:c>
      <x:c r="C111" t="str">
        <x:v>0–60 mph</x:v>
      </x:c>
      <x:c r="D111" t="n">
        <x:v>7.2</x:v>
      </x:c>
      <x:c r="E111" t="str">
        <x:v>s</x:v>
      </x:c>
      <x:c r="F111" s="29" t="str">
        <x:v>Lexus · 2026 RZ launch release</x:v>
      </x:c>
      <x:c r="G111" s="29" t="str">
        <x:v>Technical specifications → Acceleration (0–60) → RZ 350e</x:v>
      </x:c>
      <x:c r="H111" s="30" t="n">
        <x:v>46331</x:v>
      </x:c>
      <x:c r="I111" s="29" t="str">
        <x:v>https://www.prnewswire.com/news-releases/2026-lexus-rz-adds-more-power-and-performance-302459631.html</x:v>
      </x:c>
      <x:c r="J111" s="29" t="str">
        <x:v>Manufacturer figure.</x:v>
      </x:c>
    </x:row>
    <x:row r="112" ht="63" customHeight="1">
      <x:c r="A112" t="str">
        <x:v>E107</x:v>
      </x:c>
      <x:c r="B112" t="str">
        <x:v>EV-16</x:v>
      </x:c>
      <x:c r="C112" t="str">
        <x:v>Peak DC</x:v>
      </x:c>
      <x:c r="D112" t="n">
        <x:v>150</x:v>
      </x:c>
      <x:c r="E112" t="str">
        <x:v>kW</x:v>
      </x:c>
      <x:c r="F112" s="29" t="str">
        <x:v>Lexus of Pleasanton · 2026 RZ 350e</x:v>
      </x:c>
      <x:c r="G112" s="29" t="str">
        <x:v>350e → peak DC fast charge rate</x:v>
      </x:c>
      <x:c r="H112" s="30" t="n">
        <x:v>46331</x:v>
      </x:c>
      <x:c r="I112" s="29" t="str">
        <x:v>https://www.lexusofpleasanton.com/showroom/2026/Lexus/RZ%2B350e/SUV.htm</x:v>
      </x:c>
      <x:c r="J112" s="29" t="str">
        <x:v>Published U.S. dealer spec.</x:v>
      </x:c>
    </x:row>
    <x:row r="113" ht="63" customHeight="1">
      <x:c r="A113" t="str">
        <x:v>E108</x:v>
      </x:c>
      <x:c r="B113" t="str">
        <x:v>EV-16</x:v>
      </x:c>
      <x:c r="C113" t="str">
        <x:v>New listing</x:v>
      </x:c>
      <x:c r="D113" t="str">
        <x:v>Listed</x:v>
      </x:c>
      <x:c r="E113"/>
      <x:c r="F113" s="29" t="str">
        <x:v>Lexus of Tucson · new RZ 350e</x:v>
      </x:c>
      <x:c r="G113" s="29" t="str">
        <x:v>2026 Lexus RZ 350e → VIN ending 013975</x:v>
      </x:c>
      <x:c r="H113" s="30" t="n">
        <x:v>46331</x:v>
      </x:c>
      <x:c r="I113" s="29" t="str">
        <x:v>https://www.lexusoftucsonautomall.com/new-Tucson-2026-Lexus-RZ-350e-JTJBDADB6TA013975</x:v>
      </x:c>
      <x:c r="J113" s="29" t="str">
        <x:v>New U.S. listing. Compare manufacturer MSRP without dealer options.</x:v>
      </x:c>
    </x:row>
    <x:row r="114" ht="63" customHeight="1">
      <x:c r="A114" t="str">
        <x:v>E109</x:v>
      </x:c>
      <x:c r="B114" t="str">
        <x:v>EV-09</x:v>
      </x:c>
      <x:c r="C114" t="str">
        <x:v>List price</x:v>
      </x:c>
      <x:c r="D114" t="n">
        <x:v>43880</x:v>
      </x:c>
      <x:c r="E114" t="str">
        <x:v>USD</x:v>
      </x:c>
      <x:c r="F114" s="29" t="str">
        <x:v>Edmunds · 2026 Tesla Model 3 Pricing Guide</x:v>
      </x:c>
      <x:c r="G114" s="29" t="str">
        <x:v>Premium Rear-Wheel Drive → trim price; introduction → destination policy</x:v>
      </x:c>
      <x:c r="H114" s="30" t="n">
        <x:v>46331</x:v>
      </x:c>
      <x:c r="I114" s="29" t="str">
        <x:v>https://www.edmunds.com/car-news/2026-tesla-model-3-pricing-guide.html</x:v>
      </x:c>
      <x:c r="J114" s="29" t="str">
        <x:v>Includes destination. Kept separate from the 2027 price lead.</x:v>
      </x:c>
    </x:row>
    <x:row r="115" ht="63" customHeight="1">
      <x:c r="A115" t="str">
        <x:v>E110</x:v>
      </x:c>
      <x:c r="B115" t="str">
        <x:v>EV-09</x:v>
      </x:c>
      <x:c r="C115" t="str">
        <x:v>Battery estimate</x:v>
      </x:c>
      <x:c r="D115" t="n">
        <x:v>80</x:v>
      </x:c>
      <x:c r="E115" t="str">
        <x:v>kWh</x:v>
      </x:c>
      <x:c r="F115" s="29" t="str">
        <x:v>Car and Driver · Tested: Entry-Level 2026 Tesla Model 3 RWD</x:v>
      </x:c>
      <x:c r="G115" s="29" t="str">
        <x:v>Charging discussion → 70 kWh base usable, roughly 10 kWh less than Premium</x:v>
      </x:c>
      <x:c r="H115" s="30" t="n">
        <x:v>46331</x:v>
      </x:c>
      <x:c r="I115" s="29" t="str">
        <x:v>https://www.caranddriver.com/reviews/a68853621/2026-tesla-model-3-standard-drive/</x:v>
      </x:c>
      <x:c r="J115" s="29" t="str">
        <x:v>Inferred 70 + approximately 10 kWh usable. No exact published value established.</x:v>
      </x:c>
    </x:row>
    <x:row r="116" ht="63" customHeight="1">
      <x:c r="A116" t="str">
        <x:v>E111</x:v>
      </x:c>
      <x:c r="B116" t="str">
        <x:v>EV-09</x:v>
      </x:c>
      <x:c r="C116" t="str">
        <x:v>New stock lead</x:v>
      </x:c>
      <x:c r="D116" t="str">
        <x:v>Listed</x:v>
      </x:c>
      <x:c r="E116"/>
      <x:c r="F116" s="29" t="str">
        <x:v>Tesla Roamer · New Tesla Model 3 Inventory</x:v>
      </x:c>
      <x:c r="G116" s="29" t="str">
        <x:v>2026 Model 3 → Premium Rear-Wheel Drive → 363 mi → Honolulu</x:v>
      </x:c>
      <x:c r="H116" s="30" t="n">
        <x:v>46331</x:v>
      </x:c>
      <x:c r="I116" s="29" t="str">
        <x:v>https://teslaroamer.com/inventory/new?model=m3</x:v>
      </x:c>
      <x:c r="J116" s="29" t="str">
        <x:v>Third-party new inventory lead. Confirm with Tesla before counting.</x:v>
      </x:c>
    </x:row>
    <x:row r="117" ht="66" customHeight="1">
      <x:c r="A117" t="str">
        <x:v>E112</x:v>
      </x:c>
      <x:c r="B117" t="str">
        <x:v>EV-01</x:v>
      </x:c>
      <x:c r="C117" t="str">
        <x:v>List price</x:v>
      </x:c>
      <x:c r="D117" t="n">
        <x:v>36795</x:v>
      </x:c>
      <x:c r="E117" t="str">
        <x:v>USD</x:v>
      </x:c>
      <x:c r="F117" s="29" t="str">
        <x:v>InsideEVs · Cheapest Electric Cars</x:v>
      </x:c>
      <x:c r="G117" s="29" t="str">
        <x:v>2026 Chevrolet Equinox EV → base price; article pricing methodology</x:v>
      </x:c>
      <x:c r="H117" s="30" t="n">
        <x:v>46331</x:v>
      </x:c>
      <x:c r="I117" s="29" t="str">
        <x:v>https://insideevs.com/features/764148/cheapest-electric-cars-best-list/</x:v>
      </x:c>
      <x:c r="J117" s="29" t="str">
        <x:v>Use the base LT1 FWD price with destination. Earlier E01 is the pre-freight figure.</x:v>
      </x:c>
    </x:row>
    <x:row r="118" ht="66" customHeight="1">
      <x:c r="A118" t="str">
        <x:v>E113</x:v>
      </x:c>
      <x:c r="B118" t="str">
        <x:v>EV-01</x:v>
      </x:c>
      <x:c r="C118" t="str">
        <x:v>0–60 mph</x:v>
      </x:c>
      <x:c r="D118" t="n">
        <x:v>7.9</x:v>
      </x:c>
      <x:c r="E118" t="str">
        <x:v>s</x:v>
      </x:c>
      <x:c r="F118" s="29" t="str">
        <x:v>Napleton Chevrolet · 2026 Equinox EV LT1</x:v>
      </x:c>
      <x:c r="G118" s="29" t="str">
        <x:v>Performance Specifications → Acceleration (0–60 MPH)</x:v>
      </x:c>
      <x:c r="H118" s="30" t="n">
        <x:v>46331</x:v>
      </x:c>
      <x:c r="I118" s="29" t="str">
        <x:v>https://www.shopnapleton.com/auto/new-2026-chevrolet-equinox-ev-lt1-wpcy/110497154/</x:v>
      </x:c>
      <x:c r="J118" s="29" t="str">
        <x:v>Published dealer figure. Test method unspecified.</x:v>
      </x:c>
    </x:row>
    <x:row r="119" ht="66" customHeight="1">
      <x:c r="A119" t="str">
        <x:v>E114</x:v>
      </x:c>
      <x:c r="B119" t="str">
        <x:v>EV-01</x:v>
      </x:c>
      <x:c r="C119" t="str">
        <x:v>New listing</x:v>
      </x:c>
      <x:c r="D119" t="str">
        <x:v>Listed</x:v>
      </x:c>
      <x:c r="E119"/>
      <x:c r="F119" s="29" t="str">
        <x:v>Chevrolet locator · San Jose</x:v>
      </x:c>
      <x:c r="G119" s="29" t="str">
        <x:v>Stock TS192172 → New 2026 Equinox EV LT → Vehicle Notes → LT 1 Package, FWD</x:v>
      </x:c>
      <x:c r="H119" s="30" t="n">
        <x:v>46331</x:v>
      </x:c>
      <x:c r="I119" s="29" t="str">
        <x:v>https://locatechevroletworktrucks.com/work-vehicle/san-jose-ca/new-2026-chevrolet-equinox-ev-lt-24493132</x:v>
      </x:c>
      <x:c r="J119" s="29" t="str">
        <x:v>San Jose listing. Sticker includes vehicle-specific items excluded from the comparison price.</x:v>
      </x:c>
    </x:row>
    <x:row r="120" ht="66" customHeight="1">
      <x:c r="A120" t="str">
        <x:v>E115</x:v>
      </x:c>
      <x:c r="B120" t="str">
        <x:v>EV-06</x:v>
      </x:c>
      <x:c r="C120" t="str">
        <x:v>0–60 mph</x:v>
      </x:c>
      <x:c r="D120" t="n">
        <x:v>7.4</x:v>
      </x:c>
      <x:c r="E120" t="str">
        <x:v>s</x:v>
      </x:c>
      <x:c r="F120" s="29" t="str">
        <x:v>Go EV WV · 2027 Ioniq 5 SE RWD Long Range</x:v>
      </x:c>
      <x:c r="G120" s="29" t="str">
        <x:v>Vehicle specs → 0–60 mph</x:v>
      </x:c>
      <x:c r="H120" s="30" t="n">
        <x:v>46331</x:v>
      </x:c>
      <x:c r="I120" s="29" t="str">
        <x:v>https://goevwv.com/ev/hyundai-ioniq-5-lr-2025</x:v>
      </x:c>
      <x:c r="J120" s="29" t="str">
        <x:v>Exact U.S. configuration. Test provenance unspecified. E116 provides a prior-year cross-check.</x:v>
      </x:c>
    </x:row>
    <x:row r="121" ht="66" customHeight="1">
      <x:c r="A121" t="str">
        <x:v>E116</x:v>
      </x:c>
      <x:c r="B121" t="str">
        <x:v>EV-06</x:v>
      </x:c>
      <x:c r="C121" t="str">
        <x:v>0–60 cross-check</x:v>
      </x:c>
      <x:c r="D121" t="n">
        <x:v>7.4</x:v>
      </x:c>
      <x:c r="E121" t="str">
        <x:v>s</x:v>
      </x:c>
      <x:c r="F121" s="29" t="str">
        <x:v>Car and Driver · 2025 Hyundai Ioniq 5</x:v>
      </x:c>
      <x:c r="G121" s="29" t="str">
        <x:v>0–60-MPH Times → Hyundai figure for the 225-hp single motor</x:v>
      </x:c>
      <x:c r="H121" s="30" t="n">
        <x:v>46331</x:v>
      </x:c>
      <x:c r="I121" s="29" t="str">
        <x:v>https://www.caranddriver.com/hyundai/ioniq-5-2025</x:v>
      </x:c>
      <x:c r="J121" s="29" t="str">
        <x:v>Earlier 84 kWh RWD powertrain. This cross-check is a manufacturer claim reported by Car and Driver.</x:v>
      </x:c>
    </x:row>
    <x:row r="122" ht="66" customHeight="1">
      <x:c r="A122" t="str">
        <x:v>E117</x:v>
      </x:c>
      <x:c r="B122" t="str">
        <x:v>EV-09</x:v>
      </x:c>
      <x:c r="C122" t="str">
        <x:v>Battery estimate</x:v>
      </x:c>
      <x:c r="D122" t="n">
        <x:v>82</x:v>
      </x:c>
      <x:c r="E122" t="str">
        <x:v>kWh</x:v>
      </x:c>
      <x:c r="F122" s="29" t="str">
        <x:v>Kelley Blue Book · 2026 Tesla Model 3</x:v>
      </x:c>
      <x:c r="G122" s="29" t="str">
        <x:v>Engine &amp; Transmission → Premium RWD battery and approximation footnote</x:v>
      </x:c>
      <x:c r="H122" s="30" t="n">
        <x:v>46331</x:v>
      </x:c>
      <x:c r="I122" s="29" t="str">
        <x:v>https://www.kbb.com/tesla/model-3/</x:v>
      </x:c>
      <x:c r="J122" s="29" t="str">
        <x:v>Published approximation. Gross/usable basis unspecified. E110 separately estimates about 80 kWh usable.</x:v>
      </x:c>
    </x:row>
    <x:row r="123" ht="66" customHeight="1">
      <x:c r="A123" t="str">
        <x:v>E118</x:v>
      </x:c>
      <x:c r="B123" t="str">
        <x:v>EV-09</x:v>
      </x:c>
      <x:c r="C123" t="str">
        <x:v>0–60 mph</x:v>
      </x:c>
      <x:c r="D123" t="n">
        <x:v>4.8</x:v>
      </x:c>
      <x:c r="E123" t="str">
        <x:v>s</x:v>
      </x:c>
      <x:c r="F123" s="29" t="str">
        <x:v>Edmunds · 2026 Tesla Model 3</x:v>
      </x:c>
      <x:c r="G123" s="29" t="str">
        <x:v>Expert Rating → Driving experience → Premium RWD</x:v>
      </x:c>
      <x:c r="H123" s="30" t="n">
        <x:v>46331</x:v>
      </x:c>
      <x:c r="I123" s="29" t="str">
        <x:v>https://www.edmunds.com/tesla/model-3/</x:v>
      </x:c>
      <x:c r="J123" s="29" t="str">
        <x:v>Instrumented 0–60 result. Tesla's published 4.9 is retained in E52.</x:v>
      </x:c>
    </x:row>
    <x:row r="124" ht="66" customHeight="1">
      <x:c r="A124" t="str">
        <x:v>E119</x:v>
      </x:c>
      <x:c r="B124" t="str">
        <x:v>EV-09</x:v>
      </x:c>
      <x:c r="C124" t="str">
        <x:v>100 miles added</x:v>
      </x:c>
      <x:c r="D124" t="n">
        <x:v>12</x:v>
      </x:c>
      <x:c r="E124" t="str">
        <x:v>min</x:v>
      </x:c>
      <x:c r="F124" s="29" t="str">
        <x:v>Edmunds · 2026 Tesla Model 3</x:v>
      </x:c>
      <x:c r="G124" s="29" t="str">
        <x:v>Expert Rating → Range and efficiency → RWD charging test</x:v>
      </x:c>
      <x:c r="H124" s="30" t="n">
        <x:v>46331</x:v>
      </x:c>
      <x:c r="I124" s="29" t="str">
        <x:v>https://www.edmunds.com/tesla/model-3/</x:v>
      </x:c>
      <x:c r="J124" s="29" t="str">
        <x:v>Edmunds reports 12 minutes, or 498 miles per charging hour, for the RWD tested.</x:v>
      </x:c>
    </x:row>
    <x:row r="125" ht="66" customHeight="1">
      <x:c r="A125" t="str">
        <x:v>E120</x:v>
      </x:c>
      <x:c r="B125" t="str">
        <x:v>EV-09</x:v>
      </x:c>
      <x:c r="C125" t="str">
        <x:v>New listing</x:v>
      </x:c>
      <x:c r="D125" t="str">
        <x:v>Listed</x:v>
      </x:c>
      <x:c r="E125"/>
      <x:c r="F125" s="29" t="str">
        <x:v>Tesla Roamer · 2026 Model 3 Premium RWD</x:v>
      </x:c>
      <x:c r="G125" s="29" t="str">
        <x:v>Specific 363-mile 18-inch new listing → Honolulu</x:v>
      </x:c>
      <x:c r="H125" s="30" t="n">
        <x:v>46331</x:v>
      </x:c>
      <x:c r="I125" s="29" t="str">
        <x:v>https://teslaroamer.com/inventory/5YJ3218_bf531e9e335270a7c36f9c4b2d1760cb</x:v>
      </x:c>
      <x:c r="J125" s="29" t="str">
        <x:v>Third-party U.S. inventory snapshot. Its Tesla stock link redirected to general inventory. See E54 for the manufacturer ordering page.</x:v>
      </x:c>
    </x:row>
    <x:row r="126" ht="66" customHeight="1">
      <x:c r="A126" t="str">
        <x:v>E121</x:v>
      </x:c>
      <x:c r="B126" t="str">
        <x:v>EV-17</x:v>
      </x:c>
      <x:c r="C126" t="str">
        <x:v>List price</x:v>
      </x:c>
      <x:c r="D126" t="n">
        <x:v>39945</x:v>
      </x:c>
      <x:c r="E126" t="str">
        <x:v>USD</x:v>
      </x:c>
      <x:c r="F126" s="29" t="str">
        <x:v>Subaru of America · 2026 Solterra price sheet</x:v>
      </x:c>
      <x:c r="G126" s="29" t="str">
        <x:v>p. 1 → Solterra Premium → Total MSRP; footnote 3</x:v>
      </x:c>
      <x:c r="H126" s="30" t="n">
        <x:v>46331</x:v>
      </x:c>
      <x:c r="I126" s="29" t="str">
        <x:v>https://www.sube.net/media/wysiwyg/landing_pages/solterra/2026_Solterra_Retail_Pure.pdf#page=1</x:v>
      </x:c>
      <x:c r="J126" s="29" t="str">
        <x:v>$38,495 base plus $1,450 freight. Confirmed by E122's manufacturer sticker; InsideEVs guide amount differs.</x:v>
      </x:c>
    </x:row>
    <x:row r="127" ht="66" customHeight="1">
      <x:c r="A127" t="str">
        <x:v>E122</x:v>
      </x:c>
      <x:c r="B127" t="str">
        <x:v>EV-17</x:v>
      </x:c>
      <x:c r="C127" t="str">
        <x:v>Battery</x:v>
      </x:c>
      <x:c r="D127" t="n">
        <x:v>74.7</x:v>
      </x:c>
      <x:c r="E127" t="str">
        <x:v>kWh</x:v>
      </x:c>
      <x:c r="F127" s="29" t="str">
        <x:v>Subaru window sticker · 2026 Solterra Premium</x:v>
      </x:c>
      <x:c r="G127" s="29" t="str">
        <x:v>p. 1 → 74.7 kWh High Voltage Battery; pricing and EPA label also on sticker</x:v>
      </x:c>
      <x:c r="H127" s="30" t="n">
        <x:v>46331</x:v>
      </x:c>
      <x:c r="I127" s="29" t="str">
        <x:v>https://www.subaruofglendale.net/dealer-inspire-inventory/window-stickers/subaru/?vin=JTMBEAGC5TA000235</x:v>
      </x:c>
      <x:c r="J127" s="29" t="str">
        <x:v>Factory pack figure for exact trim. Sticker also shows 288 miles and separates options and freight.</x:v>
      </x:c>
    </x:row>
    <x:row r="128" ht="66" customHeight="1">
      <x:c r="A128" t="str">
        <x:v>E123</x:v>
      </x:c>
      <x:c r="B128" t="str">
        <x:v>EV-17</x:v>
      </x:c>
      <x:c r="C128" t="str">
        <x:v>EPA range</x:v>
      </x:c>
      <x:c r="D128" t="n">
        <x:v>288</x:v>
      </x:c>
      <x:c r="E128" t="str">
        <x:v>mi</x:v>
      </x:c>
      <x:c r="F128" s="29" t="str">
        <x:v>Subaru · 2026 Solterra Compare Specs</x:v>
      </x:c>
      <x:c r="G128" s="29" t="str">
        <x:v>Battery/Charging → Range → Premium</x:v>
      </x:c>
      <x:c r="H128" s="30" t="n">
        <x:v>46331</x:v>
      </x:c>
      <x:c r="I128" s="29" t="str">
        <x:v>https://www.subaru.com/services/vehicles/pdf/trimComparison/2026/SOL#page=1</x:v>
      </x:c>
      <x:c r="J128" s="29" t="str">
        <x:v>Highest listed range of the 2026 trim lineup.</x:v>
      </x:c>
    </x:row>
    <x:row r="129" ht="66" customHeight="1">
      <x:c r="A129" t="str">
        <x:v>E124</x:v>
      </x:c>
      <x:c r="B129" t="str">
        <x:v>EV-17</x:v>
      </x:c>
      <x:c r="C129" t="str">
        <x:v>0–60 estimate</x:v>
      </x:c>
      <x:c r="D129" t="n">
        <x:v>5.9</x:v>
      </x:c>
      <x:c r="E129" t="str">
        <x:v>s</x:v>
      </x:c>
      <x:c r="F129" s="29" t="str">
        <x:v>Car and Driver · 2026 Solterra First Drive</x:v>
      </x:c>
      <x:c r="G129" s="29" t="str">
        <x:v>Acceleration discussion and Specifications → C/D estimates → 60 mph</x:v>
      </x:c>
      <x:c r="H129" s="30" t="n">
        <x:v>46331</x:v>
      </x:c>
      <x:c r="I129" s="29" t="str">
        <x:v>https://www.caranddriver.com/reviews/a65871144/2026-subaru-solterra-drive/</x:v>
      </x:c>
      <x:c r="J129" s="29" t="str">
        <x:v>Approximate upper end of C/D's 4.9–5.9 s estimate, corresponding to the base 233-hp powertrain. No Premium instrumented test established.</x:v>
      </x:c>
    </x:row>
    <x:row r="130" ht="66" customHeight="1">
      <x:c r="A130" t="str">
        <x:v>E125</x:v>
      </x:c>
      <x:c r="B130" t="str">
        <x:v>EV-17</x:v>
      </x:c>
      <x:c r="C130" t="str">
        <x:v>Peak DC</x:v>
      </x:c>
      <x:c r="D130" t="n">
        <x:v>150</x:v>
      </x:c>
      <x:c r="E130" t="str">
        <x:v>kW</x:v>
      </x:c>
      <x:c r="F130" s="29" t="str">
        <x:v>Subaru · 2026 Solterra Compare Specs</x:v>
      </x:c>
      <x:c r="G130" s="29" t="str">
        <x:v>Motor/Chassis → Maximum rated DC fast-charging speed</x:v>
      </x:c>
      <x:c r="H130" s="30" t="n">
        <x:v>46331</x:v>
      </x:c>
      <x:c r="I130" s="29" t="str">
        <x:v>https://www.subaru.com/services/vehicles/pdf/trimComparison/2026/SOL#page=1</x:v>
      </x:c>
      <x:c r="J130" s="29" t="str">
        <x:v>Manufacturer rated maximum for Premium.</x:v>
      </x:c>
    </x:row>
    <x:row r="131" ht="66" customHeight="1">
      <x:c r="A131" t="str">
        <x:v>E126</x:v>
      </x:c>
      <x:c r="B131" t="str">
        <x:v>EV-17</x:v>
      </x:c>
      <x:c r="C131" t="str">
        <x:v>New listing</x:v>
      </x:c>
      <x:c r="D131" t="str">
        <x:v>Listed</x:v>
      </x:c>
      <x:c r="E131"/>
      <x:c r="F131" s="29" t="str">
        <x:v>Putnam Subaru · Burlingame inventory</x:v>
      </x:c>
      <x:c r="G131" s="29" t="str">
        <x:v>New 2026 Solterra Premium → stock S260655 → 288 miles</x:v>
      </x:c>
      <x:c r="H131" s="30" t="n">
        <x:v>46331</x:v>
      </x:c>
      <x:c r="I131" s="29" t="str">
        <x:v>https://www.putnamsubaruofburlingame.com/new/Subaru/2026-Subaru-Solterra-JTMBEAGC9TA001288.htm</x:v>
      </x:c>
      <x:c r="J131" s="29" t="str">
        <x:v>New Bay Area listing for exact trim.</x:v>
      </x:c>
    </x:row>
    <x:row r="132" ht="66" customHeight="1">
      <x:c r="A132" t="str">
        <x:v>E127</x:v>
      </x:c>
      <x:c r="B132" t="str">
        <x:v>EV-18</x:v>
      </x:c>
      <x:c r="C132" t="str">
        <x:v>Base MSRP</x:v>
      </x:c>
      <x:c r="D132" t="n">
        <x:v>47950</x:v>
      </x:c>
      <x:c r="E132" t="str">
        <x:v>USD</x:v>
      </x:c>
      <x:c r="F132" s="29" t="str">
        <x:v>Mercedes-Benz USA · 2027 Electric CLA quick reference</x:v>
      </x:c>
      <x:c r="G132" s="29" t="str">
        <x:v>Models &amp; MSRP → CLA 250+ Electric</x:v>
      </x:c>
      <x:c r="H132" s="30" t="n">
        <x:v>46331</x:v>
      </x:c>
      <x:c r="I132" s="29" t="str">
        <x:v>https://media.mbusa.com/news/2027-mercedes-benz-cla-electric-quick-reference-guide</x:v>
      </x:c>
      <x:c r="J132" s="29" t="str">
        <x:v>U.S. price before destination.</x:v>
      </x:c>
    </x:row>
    <x:row r="133" ht="66" customHeight="1">
      <x:c r="A133" t="str">
        <x:v>E128</x:v>
      </x:c>
      <x:c r="B133" t="str">
        <x:v>EV-18</x:v>
      </x:c>
      <x:c r="C133" t="str">
        <x:v>Destination</x:v>
      </x:c>
      <x:c r="D133" t="n">
        <x:v>1450</x:v>
      </x:c>
      <x:c r="E133" t="str">
        <x:v>USD</x:v>
      </x:c>
      <x:c r="F133" s="29" t="str">
        <x:v>Mercedes-Benz USA · 2027 Electric CLA quick reference</x:v>
      </x:c>
      <x:c r="G133" s="29" t="str">
        <x:v>Pricing footnote 1 → destination and delivery</x:v>
      </x:c>
      <x:c r="H133" s="30" t="n">
        <x:v>46331</x:v>
      </x:c>
      <x:c r="I133" s="29" t="str">
        <x:v>https://media.mbusa.com/news/2027-mercedes-benz-cla-electric-quick-reference-guide</x:v>
      </x:c>
      <x:c r="J133" s="29" t="str">
        <x:v>Added to base MSRP.</x:v>
      </x:c>
    </x:row>
    <x:row r="134" ht="66" customHeight="1">
      <x:c r="A134" t="str">
        <x:v>E129</x:v>
      </x:c>
      <x:c r="B134" t="str">
        <x:v>EV-18</x:v>
      </x:c>
      <x:c r="C134" t="str">
        <x:v>Battery</x:v>
      </x:c>
      <x:c r="D134" t="n">
        <x:v>85</x:v>
      </x:c>
      <x:c r="E134" t="str">
        <x:v>kWh</x:v>
      </x:c>
      <x:c r="F134" s="29" t="str">
        <x:v>Mercedes-Benz USA · 2027 Electric CLA quick reference</x:v>
      </x:c>
      <x:c r="G134" s="29" t="str">
        <x:v>At a Glance → CLA 250+ → Battery capacity</x:v>
      </x:c>
      <x:c r="H134" s="30" t="n">
        <x:v>46331</x:v>
      </x:c>
      <x:c r="I134" s="29" t="str">
        <x:v>https://media.mbusa.com/news/2027-mercedes-benz-cla-electric-quick-reference-guide</x:v>
      </x:c>
      <x:c r="J134" s="29" t="str">
        <x:v>Manufacturer usable capacity.</x:v>
      </x:c>
    </x:row>
    <x:row r="135" ht="66" customHeight="1">
      <x:c r="A135" t="str">
        <x:v>E130</x:v>
      </x:c>
      <x:c r="B135" t="str">
        <x:v>EV-18</x:v>
      </x:c>
      <x:c r="C135" t="str">
        <x:v>EPA range</x:v>
      </x:c>
      <x:c r="D135" t="n">
        <x:v>374</x:v>
      </x:c>
      <x:c r="E135" t="str">
        <x:v>mi</x:v>
      </x:c>
      <x:c r="F135" s="29" t="str">
        <x:v>Mercedes-Benz USA · 2027 Electric CLA quick reference</x:v>
      </x:c>
      <x:c r="G135" s="29" t="str">
        <x:v>At a Glance → CLA 250+ → Electric range (EPA)</x:v>
      </x:c>
      <x:c r="H135" s="30" t="n">
        <x:v>46331</x:v>
      </x:c>
      <x:c r="I135" s="29" t="str">
        <x:v>https://media.mbusa.com/news/2027-mercedes-benz-cla-electric-quick-reference-guide</x:v>
      </x:c>
      <x:c r="J135" s="29" t="str">
        <x:v>Up to 374 mi, versus 312 mi for CLA 350 4MATIC.</x:v>
      </x:c>
    </x:row>
    <x:row r="136" ht="66" customHeight="1">
      <x:c r="A136" t="str">
        <x:v>E131</x:v>
      </x:c>
      <x:c r="B136" t="str">
        <x:v>EV-18</x:v>
      </x:c>
      <x:c r="C136" t="str">
        <x:v>0–60 estimate</x:v>
      </x:c>
      <x:c r="D136" t="n">
        <x:v>6.6</x:v>
      </x:c>
      <x:c r="E136" t="str">
        <x:v>s</x:v>
      </x:c>
      <x:c r="F136" s="29" t="str">
        <x:v>Mercedes-Benz USA · 2027 Electric CLA quick reference</x:v>
      </x:c>
      <x:c r="G136" s="29" t="str">
        <x:v>At a Glance → CLA 250+ → 0–60 mph</x:v>
      </x:c>
      <x:c r="H136" s="30" t="n">
        <x:v>46331</x:v>
      </x:c>
      <x:c r="I136" s="29" t="str">
        <x:v>https://media.mbusa.com/news/2027-mercedes-benz-cla-electric-quick-reference-guide</x:v>
      </x:c>
      <x:c r="J136" s="29" t="str">
        <x:v>Manufacturer estimate.</x:v>
      </x:c>
    </x:row>
    <x:row r="137" ht="66" customHeight="1">
      <x:c r="A137" t="str">
        <x:v>E132</x:v>
      </x:c>
      <x:c r="B137" t="str">
        <x:v>EV-18</x:v>
      </x:c>
      <x:c r="C137" t="str">
        <x:v>Peak DC</x:v>
      </x:c>
      <x:c r="D137" t="n">
        <x:v>320</x:v>
      </x:c>
      <x:c r="E137" t="str">
        <x:v>kW</x:v>
      </x:c>
      <x:c r="F137" s="29" t="str">
        <x:v>Mercedes-Benz USA · 2027 Electric CLA quick reference</x:v>
      </x:c>
      <x:c r="G137" s="29" t="str">
        <x:v>At a Glance → CLA 250+ → Charging capacity</x:v>
      </x:c>
      <x:c r="H137" s="30" t="n">
        <x:v>46331</x:v>
      </x:c>
      <x:c r="I137" s="29" t="str">
        <x:v>https://media.mbusa.com/news/2027-mercedes-benz-cla-electric-quick-reference-guide</x:v>
      </x:c>
      <x:c r="J137" s="29" t="str">
        <x:v>Manufacturer maximum.</x:v>
      </x:c>
    </x:row>
    <x:row r="138" ht="66" customHeight="1">
      <x:c r="A138" t="str">
        <x:v>E133</x:v>
      </x:c>
      <x:c r="B138" t="str">
        <x:v>EV-18</x:v>
      </x:c>
      <x:c r="C138" t="str">
        <x:v>New listing</x:v>
      </x:c>
      <x:c r="D138" t="str">
        <x:v>Listed</x:v>
      </x:c>
      <x:c r="E138"/>
      <x:c r="F138" s="29" t="str">
        <x:v>Capital One Auto Navigator · Mercedes-Benz of San Jose</x:v>
      </x:c>
      <x:c r="G138" s="29" t="str">
        <x:v>New 2027 CLA 250+ Electric → VIN ending 070232</x:v>
      </x:c>
      <x:c r="H138" s="30" t="n">
        <x:v>46331</x:v>
      </x:c>
      <x:c r="I138" s="29" t="str">
        <x:v>https://www.capitalone.com/cars/vehicle-details/2027/Mercedes-Benz/CLA/CLA%2B250%2B%2BElectric/W1KFJ1DB6VJ070232</x:v>
      </x:c>
      <x:c r="J138" s="29" t="str">
        <x:v>Dealer inventory as reported by third party. San Jose.</x:v>
      </x:c>
    </x:row>
    <x:row r="139" ht="66" customHeight="1">
      <x:c r="A139" t="str">
        <x:v>E134</x:v>
      </x:c>
      <x:c r="B139" t="str">
        <x:v>EV-05/17</x:v>
      </x:c>
      <x:c r="C139" t="str">
        <x:v>Manufacturer count</x:v>
      </x:c>
      <x:c r="D139" t="n">
        <x:v>21.46</x:v>
      </x:c>
      <x:c r="E139" t="str">
        <x:v>%</x:v>
      </x:c>
      <x:c r="F139" s="29" t="str">
        <x:v>Subaru Corporation · Stock Overview</x:v>
      </x:c>
      <x:c r="G139" s="29" t="str">
        <x:v>Major Shareholders → Toyota Motor Corporation, March 31, 2026</x:v>
      </x:c>
      <x:c r="H139" s="30" t="n">
        <x:v>46331</x:v>
      </x:c>
      <x:c r="I139" s="29" t="str">
        <x:v>https://www.subaru.co.jp/en/ir/stock/quote.html</x:v>
      </x:c>
      <x:c r="J139" s="29" t="str">
        <x:v>Subaru counted separately under the group convention. Toyota is a minority shareholder and an affiliate.</x:v>
      </x:c>
    </x:row>
    <x:row r="140" ht="66" customHeight="1">
      <x:c r="A140" t="str">
        <x:v>E135</x:v>
      </x:c>
      <x:c r="B140" t="str">
        <x:v>EV-06/15</x:v>
      </x:c>
      <x:c r="C140" t="str">
        <x:v>Manufacturer count</x:v>
      </x:c>
      <x:c r="D140" t="str">
        <x:v>Hyundai Motor Group</x:v>
      </x:c>
      <x:c r="E140"/>
      <x:c r="F140" s="29" t="str">
        <x:v>Kia Global · Shareholders</x:v>
      </x:c>
      <x:c r="G140" s="29" t="str">
        <x:v>Ownership Structure → Hyundai Motor Company</x:v>
      </x:c>
      <x:c r="H140" s="30" t="n">
        <x:v>46331</x:v>
      </x:c>
      <x:c r="I140" s="29" t="str">
        <x:v>https://worldwide.kia.com/en/company/sustainability/governance/shareholders</x:v>
      </x:c>
      <x:c r="J140" s="29" t="str">
        <x:v>Kia and Hyundai counted together under the group convention.</x:v>
      </x:c>
    </x:row>
    <x:row r="141" ht="66" customHeight="1">
      <x:c r="A141" t="str">
        <x:v>E136</x:v>
      </x:c>
      <x:c r="B141" t="str">
        <x:v>EV-18</x:v>
      </x:c>
      <x:c r="C141" t="str">
        <x:v>Compact sedan</x:v>
      </x:c>
      <x:c r="D141" t="str">
        <x:v>Compact sedan</x:v>
      </x:c>
      <x:c r="E141"/>
      <x:c r="F141" s="29" t="str">
        <x:v>Mercedes-Benz USA · Electric CLA pricing launch</x:v>
      </x:c>
      <x:c r="G141" s="29" t="str">
        <x:v>Opening paragraph → compact sedan</x:v>
      </x:c>
      <x:c r="H141" s="30" t="n">
        <x:v>46331</x:v>
      </x:c>
      <x:c r="I141" s="29" t="str">
        <x:v>https://media.mbusa.com/news/mercedes-benz-usa-announces-pricing-for-all-new-electric-cla</x:v>
      </x:c>
      <x:c r="J141" s="29" t="str">
        <x:v>Manufacturer describes the generation as a compact sedan. E127–E133 support the selected 2027 model year.</x:v>
      </x:c>
    </x:row>
    <x:row r="142" ht="66" customHeight="1">
      <x:c r="A142" t="str">
        <x:v>E137</x:v>
      </x:c>
      <x:c r="B142" t="str">
        <x:v>EV-16</x:v>
      </x:c>
      <x:c r="C142" t="str">
        <x:v>Manufacturer count</x:v>
      </x:c>
      <x:c r="D142" t="str">
        <x:v>Toyota Motor Corporation</x:v>
      </x:c>
      <x:c r="E142"/>
      <x:c r="F142" s="29" t="str">
        <x:v>Toyota USA Newsroom · Dejuan Ross</x:v>
      </x:c>
      <x:c r="G142" s="29" t="str">
        <x:v>Title → Lexus Division of Toyota Motor North America</x:v>
      </x:c>
      <x:c r="H142" s="30" t="n">
        <x:v>46331</x:v>
      </x:c>
      <x:c r="I142" s="29" t="str">
        <x:v>https://pressroom.toyota.com/biographies/dejuan-ross/</x:v>
      </x:c>
      <x:c r="J142" s="29" t="str">
        <x:v>Lexus and Toyota share a group for counting purposes.</x:v>
      </x:c>
    </x:row>
    <x:row r="143" ht="66" customHeight="1">
      <x:c r="A143" t="str">
        <x:v>E138</x:v>
      </x:c>
      <x:c r="B143" t="str">
        <x:v>EV-08</x:v>
      </x:c>
      <x:c r="C143" t="str">
        <x:v>Manufacturer count</x:v>
      </x:c>
      <x:c r="D143" t="str">
        <x:v>Geely Holding</x:v>
      </x:c>
      <x:c r="E143"/>
      <x:c r="F143" s="29" t="str">
        <x:v>Volvo Cars · Notice of extraordinary general meeting</x:v>
      </x:c>
      <x:c r="G143" s="29" t="str">
        <x:v>Related party transaction → Zhejiang Geely controlling stake</x:v>
      </x:c>
      <x:c r="H143" s="30" t="n">
        <x:v>46331</x:v>
      </x:c>
      <x:c r="I143" s="29" t="str">
        <x:v>https://www.volvocars.com/intl/media/press-releases/A671223DC2BFE15D/</x:v>
      </x:c>
      <x:c r="J143" s="29" t="str">
        <x:v>Volvo Cars is an indirect subsidiary of Zhejiang Geely.</x:v>
      </x:c>
    </x:row>
    <x:row r="144" ht="66" customHeight="1">
      <x:c r="A144" t="str">
        <x:v>E139</x:v>
      </x:c>
      <x:c r="B144" t="str">
        <x:v>EV-10</x:v>
      </x:c>
      <x:c r="C144" t="str">
        <x:v>Manufacturer count</x:v>
      </x:c>
      <x:c r="D144" t="str">
        <x:v>BMW Group</x:v>
      </x:c>
      <x:c r="E144"/>
      <x:c r="F144" s="29" t="str">
        <x:v>BMW Group · Brands and business segments</x:v>
      </x:c>
      <x:c r="G144" s="29" t="str">
        <x:v>Brand portfolio → MINI</x:v>
      </x:c>
      <x:c r="H144" s="30" t="n">
        <x:v>46331</x:v>
      </x:c>
      <x:c r="I144" s="29" t="str">
        <x:v>https://www.bmwgroup.com/content/grpw/websites/bmwgroup_com/en/unternehmen/marken.html</x:v>
      </x:c>
      <x:c r="J144" s="29" t="str">
        <x:v>MINI is a BMW Group brand.</x:v>
      </x:c>
    </x:row>
    <x:row r="145" ht="63" customHeight="1">
      <x:c r="A145" s="38" t="str">
        <x:v>P01</x:v>
      </x:c>
      <x:c r="B145" s="46" t="str">
        <x:v>Household</x:v>
      </x:c>
      <x:c r="C145" s="46" t="str">
        <x:v>Assignment inputs</x:v>
      </x:c>
      <x:c r="D145" s="46" t="n">
        <x:v>60000</x:v>
      </x:c>
      <x:c r="E145" s="46" t="str">
        <x:v>USD/yr</x:v>
      </x:c>
      <x:c r="F145" s="46" t="str">
        <x:v>Problem Set 2</x:v>
      </x:c>
      <x:c r="G145" s="46" t="str">
        <x:v>Opening household scenario</x:v>
      </x:c>
      <x:c r="H145" s="110" t="n">
        <x:v>46332</x:v>
      </x:c>
      <x:c r="I145" s="46" t="str">
        <x:v>C:/Users/elste/Documents/Eliots Second Brain/Fall 2026 MIIS classes/Renewable Energy/Problem Set 2.md</x:v>
      </x:c>
      <x:c r="J145" s="46" t="str">
        <x:v>3 people in San José. 17-year-old Corolla with 200,000 miles and $3,000 sale value. Model year ≈ 2009 inferred as 2026 − 17. Check title if known.</x:v>
      </x:c>
    </x:row>
    <x:row r="146" ht="63" customHeight="1">
      <x:c r="A146" s="38" t="str">
        <x:v>P02</x:v>
      </x:c>
      <x:c r="B146" s="46" t="str">
        <x:v>Federal</x:v>
      </x:c>
      <x:c r="C146" s="46" t="str">
        <x:v>New EV purchase credit</x:v>
      </x:c>
      <x:c r="D146" s="46" t="n">
        <x:v>0</x:v>
      </x:c>
      <x:c r="E146" s="46" t="str">
        <x:v>USD</x:v>
      </x:c>
      <x:c r="F146" s="46" t="str">
        <x:v>IRS · Clean Vehicle Tax Credits</x:v>
      </x:c>
      <x:c r="G146" s="46" t="str">
        <x:v>Update at top → vehicles acquired after Sept. 30, 2025</x:v>
      </x:c>
      <x:c r="H146" s="110" t="n">
        <x:v>46332</x:v>
      </x:c>
      <x:c r="I146" s="46" t="str">
        <x:v>https://www.irs.gov/clean-vehicle-tax-credits</x:v>
      </x:c>
      <x:c r="J146" s="46" t="str">
        <x:v>Expired for a newly acquired vehicle in this scenario.</x:v>
      </x:c>
    </x:row>
    <x:row r="147" ht="63" customHeight="1">
      <x:c r="A147" s="38" t="str">
        <x:v>P03</x:v>
      </x:c>
      <x:c r="B147" s="46" t="str">
        <x:v>CCFA</x:v>
      </x:c>
      <x:c r="C147" s="46" t="str">
        <x:v>BEV retirement grant</x:v>
      </x:c>
      <x:c r="D147" s="46" t="n">
        <x:v>10000</x:v>
      </x:c>
      <x:c r="E147" s="46" t="str">
        <x:v>USD</x:v>
      </x:c>
      <x:c r="F147" s="46" t="str">
        <x:v>Bay Area Air District · Eligibility</x:v>
      </x:c>
      <x:c r="G147" s="46" t="str">
        <x:v>Income → Battery Electric Vehicle grant row</x:v>
      </x:c>
      <x:c r="H147" s="110" t="n">
        <x:v>46332</x:v>
      </x:c>
      <x:c r="I147" s="46" t="str">
        <x:v>https://www.baaqmd.gov/en/funding-and-incentives/residents/clean-cars-for-all/eligibility</x:v>
      </x:c>
      <x:c r="J147" s="46" t="str">
        <x:v>Standard grant includes retiring the qualifying old vehicle.</x:v>
      </x:c>
    </x:row>
    <x:row r="148" ht="63" customHeight="1">
      <x:c r="A148" s="38" t="str">
        <x:v>P04</x:v>
      </x:c>
      <x:c r="B148" s="46" t="str">
        <x:v>CCFA</x:v>
      </x:c>
      <x:c r="C148" s="46" t="str">
        <x:v>Additional DAC amount</x:v>
      </x:c>
      <x:c r="D148" s="46" t="n">
        <x:v>2000</x:v>
      </x:c>
      <x:c r="E148" s="46" t="str">
        <x:v>USD</x:v>
      </x:c>
      <x:c r="F148" s="46" t="str">
        <x:v>Bay Area Air District · Eligibility</x:v>
      </x:c>
      <x:c r="G148" s="46" t="str">
        <x:v>Income → BEV grant row and DAC footnote</x:v>
      </x:c>
      <x:c r="H148" s="110" t="n">
        <x:v>46332</x:v>
      </x:c>
      <x:c r="I148" s="46" t="str">
        <x:v>https://www.baaqmd.gov/en/funding-and-incentives/residents/clean-cars-for-all/eligibility</x:v>
      </x:c>
      <x:c r="J148" s="46" t="str">
        <x:v>Difference between $12,000 DAC and $10,000 standard. Needs verified tract and eligible CCFA purchase.</x:v>
      </x:c>
    </x:row>
    <x:row r="149" ht="63" customHeight="1">
      <x:c r="A149" s="38" t="str">
        <x:v>P05</x:v>
      </x:c>
      <x:c r="B149" s="46" t="str">
        <x:v>CCFA</x:v>
      </x:c>
      <x:c r="C149" s="46" t="str">
        <x:v>Old vehicle maximum model year</x:v>
      </x:c>
      <x:c r="D149" s="46" t="n">
        <x:v>2007</x:v>
      </x:c>
      <x:c r="E149" s="46" t="str">
        <x:v>MY</x:v>
      </x:c>
      <x:c r="F149" s="46" t="str">
        <x:v>Bay Area Air District · Eligibility</x:v>
      </x:c>
      <x:c r="G149" s="46" t="str">
        <x:v>Retired Vehicle Eligibility → items 1–5</x:v>
      </x:c>
      <x:c r="H149" s="110" t="n">
        <x:v>46332</x:v>
      </x:c>
      <x:c r="I149" s="46" t="str">
        <x:v>https://www.baaqmd.gov/en/funding-and-incentives/residents/clean-cars-for-all/eligibility</x:v>
      </x:c>
      <x:c r="J149" s="46" t="str">
        <x:v>Includes operation, title and registration requirements. Registration exceptions do not change the stated model-year cutoff.</x:v>
      </x:c>
    </x:row>
    <x:row r="150" ht="63" customHeight="1">
      <x:c r="A150" s="38" t="str">
        <x:v>P06</x:v>
      </x:c>
      <x:c r="B150" s="46" t="str">
        <x:v>CCFA</x:v>
      </x:c>
      <x:c r="C150" s="46" t="str">
        <x:v>Three-person income cap</x:v>
      </x:c>
      <x:c r="D150" s="46" t="n">
        <x:v>81960</x:v>
      </x:c>
      <x:c r="E150" s="46" t="str">
        <x:v>USD/yr</x:v>
      </x:c>
      <x:c r="F150" s="46" t="str">
        <x:v>Bay Area Air District · Eligibility</x:v>
      </x:c>
      <x:c r="G150" s="46" t="str">
        <x:v>Income → 3 people</x:v>
      </x:c>
      <x:c r="H150" s="110" t="n">
        <x:v>46332</x:v>
      </x:c>
      <x:c r="I150" s="46" t="str">
        <x:v>https://www.baaqmd.gov/en/funding-and-incentives/residents/clean-cars-for-all/eligibility</x:v>
      </x:c>
      <x:c r="J150" s="46" t="str">
        <x:v>July 1, 2026 onward uses Total Income. See P30.</x:v>
      </x:c>
    </x:row>
    <x:row r="151" ht="63" customHeight="1">
      <x:c r="A151" s="38" t="str">
        <x:v>P07</x:v>
      </x:c>
      <x:c r="B151" s="46" t="str">
        <x:v>CCFA</x:v>
      </x:c>
      <x:c r="C151" s="46" t="str">
        <x:v>Replacement sale price cap</x:v>
      </x:c>
      <x:c r="D151" s="46" t="n">
        <x:v>48000</x:v>
      </x:c>
      <x:c r="E151" s="46" t="str">
        <x:v>USD</x:v>
      </x:c>
      <x:c r="F151" s="46" t="str">
        <x:v>Bay Area Air District · Eligible Replacement Vehicles</x:v>
      </x:c>
      <x:c r="G151" s="46" t="str">
        <x:v>Program Advisory 2 and Types of Eligible Vehicles</x:v>
      </x:c>
      <x:c r="H151" s="110" t="n">
        <x:v>46332</x:v>
      </x:c>
      <x:c r="I151" s="46" t="str">
        <x:v>https://www.baaqmd.gov/funding-and-incentives/residents/clean-cars-for-all/resources/eligible-replacement-vehicles</x:v>
      </x:c>
      <x:c r="J151" s="46" t="str">
        <x:v>Cap excludes taxes, fees, warranties and accessories. The district may count an eligible manufacturer rebate against the cap. Base uses Part 1 list price as proxy.</x:v>
      </x:c>
    </x:row>
    <x:row r="152" ht="63" customHeight="1">
      <x:c r="A152" s="38" t="str">
        <x:v>P08</x:v>
      </x:c>
      <x:c r="B152" s="46" t="str">
        <x:v>MyFirstEV</x:v>
      </x:c>
      <x:c r="C152" s="46" t="str">
        <x:v>New vehicle discount</x:v>
      </x:c>
      <x:c r="D152" s="46" t="n">
        <x:v>3500</x:v>
      </x:c>
      <x:c r="E152" s="46" t="str">
        <x:v>USD</x:v>
      </x:c>
      <x:c r="F152" s="46" t="str">
        <x:v>California Climate Investments · CARB MyFirstEV</x:v>
      </x:c>
      <x:c r="G152" s="46" t="str">
        <x:v>About → new point-of-sale discount, stacking and Aug. 3 launch</x:v>
      </x:c>
      <x:c r="H152" s="110" t="n">
        <x:v>46332</x:v>
      </x:c>
      <x:c r="I152" s="46" t="str">
        <x:v>https://www.caclimateinvestments.ca.gov/myfirstev</x:v>
      </x:c>
      <x:c r="J152" s="46" t="str">
        <x:v>First-time ZEV purchase/lease in California. Manufacturer, dealer, exact model and remaining funds matter.</x:v>
      </x:c>
    </x:row>
    <x:row r="153" ht="63" customHeight="1">
      <x:c r="A153" s="38" t="str">
        <x:v>P09</x:v>
      </x:c>
      <x:c r="B153" s="46" t="str">
        <x:v>MyFirstEV</x:v>
      </x:c>
      <x:c r="C153" s="46" t="str">
        <x:v>MSRP cap</x:v>
      </x:c>
      <x:c r="D153" s="46" t="n">
        <x:v>50000</x:v>
      </x:c>
      <x:c r="E153" s="46" t="str">
        <x:v>USD</x:v>
      </x:c>
      <x:c r="F153" s="46" t="str">
        <x:v>CARB · MyFirstEV FAQ</x:v>
      </x:c>
      <x:c r="G153" s="46" t="str">
        <x:v>Which vehicles qualify? / Dealer or OEM participation</x:v>
      </x:c>
      <x:c r="H153" s="110" t="n">
        <x:v>46332</x:v>
      </x:c>
      <x:c r="I153" s="46" t="str">
        <x:v>https://ww2.arb.ca.gov/resources/fact-sheets/myfirstev-frequently-asked-questions/printable/print</x:v>
      </x:c>
      <x:c r="J153" s="46" t="str">
        <x:v>MY 2026 or newer. New MSRP cap ≤ $50,000 with exception for qualifying CA-headquartered ZEV manufacturers. Part 1 list price with freight is a conservative screen here.</x:v>
      </x:c>
    </x:row>
    <x:row r="154" ht="63" customHeight="1">
      <x:c r="A154" s="38" t="str">
        <x:v>P10</x:v>
      </x:c>
      <x:c r="B154" s="46" t="str">
        <x:v>MyFirstEV</x:v>
      </x:c>
      <x:c r="C154" s="46" t="str">
        <x:v>Manufacturer availability</x:v>
      </x:c>
      <x:c r="D154" s="46"/>
      <x:c r="E154" s="46"/>
      <x:c r="F154" s="46" t="str">
        <x:v>CARB · Participating Manufacturers</x:v>
      </x:c>
      <x:c r="G154" s="46" t="str">
        <x:v>Manufacturer cards → current status</x:v>
      </x:c>
      <x:c r="H154" s="110" t="n">
        <x:v>46332</x:v>
      </x:c>
      <x:c r="I154" s="46" t="str">
        <x:v>https://ww2.arb.ca.gov/myfirstev-participating-manufacturers</x:v>
      </x:c>
      <x:c r="J154" s="46" t="str">
        <x:v>Chevrolet, Ford, Hyundai, Kia, Lexus, Subaru, Toyota and Volvo listed as available for new vehicles. Tesla closed. MINI, Volkswagen and Mercedes-Benz absent. Checked via direct official page.</x:v>
      </x:c>
    </x:row>
    <x:row r="155" ht="63" customHeight="1">
      <x:c r="A155" s="38" t="str">
        <x:v>P11</x:v>
      </x:c>
      <x:c r="B155" s="46" t="str">
        <x:v>SJCE</x:v>
      </x:c>
      <x:c r="C155" s="46" t="str">
        <x:v>New BEV point-of-sale rebate</x:v>
      </x:c>
      <x:c r="D155" s="46" t="n">
        <x:v>3000</x:v>
      </x:c>
      <x:c r="E155" s="46" t="str">
        <x:v>USD</x:v>
      </x:c>
      <x:c r="F155" s="46" t="str">
        <x:v>San José Clean Energy · EV Instant Rebates</x:v>
      </x:c>
      <x:c r="G155" s="46" t="str">
        <x:v>Rebate Amounts; FAQs → coupon issued before Sept. 15, 2026</x:v>
      </x:c>
      <x:c r="H155" s="110" t="n">
        <x:v>46332</x:v>
      </x:c>
      <x:c r="I155" s="46" t="str">
        <x:v>https://sanjosecleanenergy.org/ev-rebates/</x:v>
      </x:c>
      <x:c r="J155" s="46" t="str">
        <x:v>Limited funds. Use the current $3,000 amount. Air District's comparison page still displays $4,000.</x:v>
      </x:c>
    </x:row>
    <x:row r="156" ht="63" customHeight="1">
      <x:c r="A156" s="38" t="str">
        <x:v>P12</x:v>
      </x:c>
      <x:c r="B156" s="46" t="str">
        <x:v>SJCE</x:v>
      </x:c>
      <x:c r="C156" s="46" t="str">
        <x:v>Cash price ceiling</x:v>
      </x:c>
      <x:c r="D156" s="46" t="n">
        <x:v>50000</x:v>
      </x:c>
      <x:c r="E156" s="46" t="str">
        <x:v>USD</x:v>
      </x:c>
      <x:c r="F156" s="46" t="str">
        <x:v>San José Clean Energy · EV Instant Rebates</x:v>
      </x:c>
      <x:c r="G156" s="46" t="str">
        <x:v>FAQs → What does the vehicle price cap include?</x:v>
      </x:c>
      <x:c r="H156" s="110" t="n">
        <x:v>46332</x:v>
      </x:c>
      <x:c r="I156" s="46" t="str">
        <x:v>https://sanjosecleanenergy.org/ev-rebates/</x:v>
      </x:c>
      <x:c r="J156" s="46" t="str">
        <x:v>Cash price includes upgrades and add-ons before taxes and fees. The qualifying list says below $50,000, so the model uses &lt; $50,000. All Part 1 prices fall below it.</x:v>
      </x:c>
    </x:row>
    <x:row r="157" ht="63" customHeight="1">
      <x:c r="A157" s="38" t="str">
        <x:v>P13</x:v>
      </x:c>
      <x:c r="B157" s="46" t="str">
        <x:v>SJCE</x:v>
      </x:c>
      <x:c r="C157" s="46" t="str">
        <x:v>Three-person income cap</x:v>
      </x:c>
      <x:c r="D157" s="46" t="n">
        <x:v>184950</x:v>
      </x:c>
      <x:c r="E157" s="46" t="str">
        <x:v>USD/yr</x:v>
      </x:c>
      <x:c r="F157" s="46" t="str">
        <x:v>San José Clean Energy · EV Instant Rebates</x:v>
      </x:c>
      <x:c r="G157" s="46" t="str">
        <x:v>Get Started → View AMI Income Requirements → 3 people</x:v>
      </x:c>
      <x:c r="H157" s="110" t="n">
        <x:v>46332</x:v>
      </x:c>
      <x:c r="I157" s="46" t="str">
        <x:v>https://sanjosecleanenergy.org/ev-rebates/</x:v>
      </x:c>
      <x:c r="J157" s="46" t="str">
        <x:v>Requires SJCE residential service address and dealer redemption. Income proof or qualifying program, one rebate per address per calendar year.</x:v>
      </x:c>
    </x:row>
    <x:row r="158" ht="63" customHeight="1">
      <x:c r="A158" s="38" t="str">
        <x:v>P14</x:v>
      </x:c>
      <x:c r="B158" s="46" t="str">
        <x:v>Stacking</x:v>
      </x:c>
      <x:c r="C158" s="46" t="str">
        <x:v>Purchase programs can stack</x:v>
      </x:c>
      <x:c r="D158" s="46"/>
      <x:c r="E158" s="46"/>
      <x:c r="F158" s="46" t="str">
        <x:v>Bay Area Air District · Other Clean Car Grants and Rebates</x:v>
      </x:c>
      <x:c r="G158" s="46" t="str">
        <x:v>Grant Options → MyFirstEV and SJCE rows</x:v>
      </x:c>
      <x:c r="H158" s="110" t="n">
        <x:v>46332</x:v>
      </x:c>
      <x:c r="I158" s="46" t="str">
        <x:v>https://www.baaqmd.gov/en/funding-and-incentives/residents/clean-cars-for-all/resources/other-clean-car-grants-and-rebates?sc_lang=en</x:v>
      </x:c>
      <x:c r="J158" s="46" t="str">
        <x:v>Confirms stacking with CCFA for a BEV. P11 supersedes the older SJCE amount. SJCE also lists MyFirstEV under More Savings.</x:v>
      </x:c>
    </x:row>
    <x:row r="159" ht="63" customHeight="1">
      <x:c r="A159" s="38" t="str">
        <x:v>P15</x:v>
      </x:c>
      <x:c r="B159" s="46" t="str">
        <x:v>CAP</x:v>
      </x:c>
      <x:c r="C159" s="46" t="str">
        <x:v>Retirement with qualifying recent test</x:v>
      </x:c>
      <x:c r="D159" s="46" t="n">
        <x:v>1500</x:v>
      </x:c>
      <x:c r="E159" s="46" t="str">
        <x:v>USD</x:v>
      </x:c>
      <x:c r="F159" s="46" t="str">
        <x:v>California BAR · Retire your vehicle</x:v>
      </x:c>
      <x:c r="G159" s="46" t="str">
        <x:v>Step 1 → $1,500 incentive; full requirements</x:v>
      </x:c>
      <x:c r="H159" s="110" t="n">
        <x:v>46332</x:v>
      </x:c>
      <x:c r="I159" s="46" t="str">
        <x:v>https://www.bar.ca.gov/cap/retirement</x:v>
      </x:c>
      <x:c r="J159" s="46" t="str">
        <x:v>Income-qualified and completed pass or fail Smog Check within 180 days. Approval, owner, registration and drivable vehicle rules apply.</x:v>
      </x:c>
    </x:row>
    <x:row r="160" ht="63" customHeight="1">
      <x:c r="A160" s="38" t="str">
        <x:v>P16</x:v>
      </x:c>
      <x:c r="B160" s="46" t="str">
        <x:v>CAP</x:v>
      </x:c>
      <x:c r="C160" s="46" t="str">
        <x:v>Retirement with failed Smog Check</x:v>
      </x:c>
      <x:c r="D160" s="46" t="n">
        <x:v>2000</x:v>
      </x:c>
      <x:c r="E160" s="46" t="str">
        <x:v>USD</x:v>
      </x:c>
      <x:c r="F160" s="46" t="str">
        <x:v>California BAR · Retire your vehicle</x:v>
      </x:c>
      <x:c r="G160" s="46" t="str">
        <x:v>Step 1 → $2,000 incentive; full requirements</x:v>
      </x:c>
      <x:c r="H160" s="110" t="n">
        <x:v>46332</x:v>
      </x:c>
      <x:c r="I160" s="46" t="str">
        <x:v>https://www.bar.ca.gov/cap/retirement</x:v>
      </x:c>
      <x:c r="J160" s="46" t="str">
        <x:v>Income-qualified and most recent Smog Check must be a qualifying failure. Also offers $1,350 without income test for eligible failed-check cases.</x:v>
      </x:c>
    </x:row>
    <x:row r="161" ht="63" customHeight="1">
      <x:c r="A161" s="38" t="str">
        <x:v>P17</x:v>
      </x:c>
      <x:c r="B161" s="46" t="str">
        <x:v>CAP</x:v>
      </x:c>
      <x:c r="C161" s="46" t="str">
        <x:v>Three-person income cap</x:v>
      </x:c>
      <x:c r="D161" s="46" t="n">
        <x:v>61470</x:v>
      </x:c>
      <x:c r="E161" s="46" t="str">
        <x:v>USD/yr</x:v>
      </x:c>
      <x:c r="F161" s="46" t="str">
        <x:v>California BAR · Income Eligibility Requirement</x:v>
      </x:c>
      <x:c r="G161" s="46" t="str">
        <x:v>225% Federal Poverty Level → family of 3</x:v>
      </x:c>
      <x:c r="H161" s="110" t="n">
        <x:v>46332</x:v>
      </x:c>
      <x:c r="I161" s="46" t="str">
        <x:v>https://www.bar.ca.gov/cap/income</x:v>
      </x:c>
      <x:c r="J161" s="46" t="str">
        <x:v>Assignment income is below this threshold. Actual gross income documentation and vehicle/Smog Check eligibility remain unknown.</x:v>
      </x:c>
    </x:row>
    <x:row r="162" ht="63" customHeight="1">
      <x:c r="A162" s="38" t="str">
        <x:v>P18</x:v>
      </x:c>
      <x:c r="B162" s="46" t="str">
        <x:v>Vehicle Buy Back</x:v>
      </x:c>
      <x:c r="C162" s="46" t="str">
        <x:v>Independent retirement payment</x:v>
      </x:c>
      <x:c r="D162" s="46" t="n">
        <x:v>2000</x:v>
      </x:c>
      <x:c r="E162" s="46" t="str">
        <x:v>USD</x:v>
      </x:c>
      <x:c r="F162" s="46" t="str">
        <x:v>Bay Area Air District · Vehicle Buy Back</x:v>
      </x:c>
      <x:c r="G162" s="46" t="str">
        <x:v>How to Apply and Eligibility</x:v>
      </x:c>
      <x:c r="H162" s="110" t="n">
        <x:v>46332</x:v>
      </x:c>
      <x:c r="I162" s="46" t="str">
        <x:v>https://www.baaqmd.gov/en/Funding-and-Incentives/Residents/Vehicle-Buy-Back-Program</x:v>
      </x:c>
      <x:c r="J162" s="46" t="str">
        <x:v>Working MY 2000 or older and generally two years registered as operable in Bay Area. 2009 estimate fails.</x:v>
      </x:c>
    </x:row>
    <x:row r="163" ht="63" customHeight="1">
      <x:c r="A163" s="38" t="str">
        <x:v>P19</x:v>
      </x:c>
      <x:c r="B163" s="46" t="str">
        <x:v>Vehicle Buy Back</x:v>
      </x:c>
      <x:c r="C163" s="46" t="str">
        <x:v>Old vehicle maximum model year</x:v>
      </x:c>
      <x:c r="D163" s="46" t="n">
        <x:v>2000</x:v>
      </x:c>
      <x:c r="E163" s="46" t="str">
        <x:v>MY</x:v>
      </x:c>
      <x:c r="F163" s="46" t="str">
        <x:v>Bay Area Air District · Vehicle Buy Back</x:v>
      </x:c>
      <x:c r="G163" s="46" t="str">
        <x:v>Eligibility introduction and vehicle requirements</x:v>
      </x:c>
      <x:c r="H163" s="110" t="n">
        <x:v>46332</x:v>
      </x:c>
      <x:c r="I163" s="46" t="str">
        <x:v>https://www.baaqmd.gov/en/Funding-and-Incentives/Residents/Vehicle-Buy-Back-Program</x:v>
      </x:c>
      <x:c r="J163" s="46" t="str">
        <x:v>CAP, Vehicle Buy Back, CCFA and the $3,000 sale each dispose of the same Corolla. Choose one.</x:v>
      </x:c>
    </x:row>
    <x:row r="164" ht="63" customHeight="1">
      <x:c r="A164" s="38" t="str">
        <x:v>P20</x:v>
      </x:c>
      <x:c r="B164" s="46" t="str">
        <x:v>DCAP</x:v>
      </x:c>
      <x:c r="C164" s="46" t="str">
        <x:v>Financing Assistance in this case</x:v>
      </x:c>
      <x:c r="D164" s="46" t="n">
        <x:v>0</x:v>
      </x:c>
      <x:c r="E164" s="46" t="str">
        <x:v>USD</x:v>
      </x:c>
      <x:c r="F164" s="46" t="str">
        <x:v>Driving Clean Assistance Program · FAQs</x:v>
      </x:c>
      <x:c r="G164" s="46" t="str">
        <x:v>8/21/2026 notice at top and §3(a) exclusions</x:v>
      </x:c>
      <x:c r="H164" s="110" t="n">
        <x:v>46332</x:v>
      </x:c>
      <x:c r="I164" s="46" t="str">
        <x:v>https://drivingcleanca.org/about-us/frequently-asked-questions/</x:v>
      </x:c>
      <x:c r="J164" s="46" t="str">
        <x:v>Latest notice closes financing to new applicants. Open scrap pathway excludes Bay Area Air District residents.</x:v>
      </x:c>
    </x:row>
    <x:row r="165" ht="63" customHeight="1">
      <x:c r="A165" s="38" t="str">
        <x:v>P21</x:v>
      </x:c>
      <x:c r="B165" s="46" t="str">
        <x:v>RIDE</x:v>
      </x:c>
      <x:c r="C165" s="46" t="str">
        <x:v>Potential new EV incentive</x:v>
      </x:c>
      <x:c r="D165" s="46" t="n">
        <x:v>20300</x:v>
      </x:c>
      <x:c r="E165" s="46" t="str">
        <x:v>USD</x:v>
      </x:c>
      <x:c r="F165" s="46" t="str">
        <x:v>CPUC and administrator · RIDE</x:v>
      </x:c>
      <x:c r="G165" s="46" t="str">
        <x:v>How much can I save? and eligibility</x:v>
      </x:c>
      <x:c r="H165" s="110" t="n">
        <x:v>46332</x:v>
      </x:c>
      <x:c r="I165" s="46" t="str">
        <x:v>https://rideca.org/</x:v>
      </x:c>
      <x:c r="J165" s="46" t="str">
        <x:v>$0 in assignment case. Up to $20,300 for eligible high-volume drivers and $1,170/yr public charging subject to renewal. See P31.</x:v>
      </x:c>
    </x:row>
    <x:row r="166" ht="63" customHeight="1">
      <x:c r="A166" s="38" t="str">
        <x:v>P22</x:v>
      </x:c>
      <x:c r="B166" s="46" t="str">
        <x:v>CVRP</x:v>
      </x:c>
      <x:c r="C166" s="46" t="str">
        <x:v>Current purchase rebate</x:v>
      </x:c>
      <x:c r="D166" s="46" t="n">
        <x:v>0</x:v>
      </x:c>
      <x:c r="E166" s="46" t="str">
        <x:v>USD</x:v>
      </x:c>
      <x:c r="F166" s="46" t="str">
        <x:v>CARB · Clean Vehicle Rebate Project</x:v>
      </x:c>
      <x:c r="G166" s="46" t="str">
        <x:v>About → Closed Nov. 8, 2023</x:v>
      </x:c>
      <x:c r="H166" s="110" t="n">
        <x:v>46332</x:v>
      </x:c>
      <x:c r="I166" s="46" t="str">
        <x:v>https://ww2.arb.ca.gov/our-work/programs/clean-vehicle-rebate-project/about</x:v>
      </x:c>
      <x:c r="J166" s="46" t="str">
        <x:v>No new applications.</x:v>
      </x:c>
    </x:row>
    <x:row r="167" ht="63" customHeight="1">
      <x:c r="A167" s="38" t="str">
        <x:v>P23</x:v>
      </x:c>
      <x:c r="B167" s="46" t="str">
        <x:v>CCFR</x:v>
      </x:c>
      <x:c r="C167" s="46" t="str">
        <x:v>Current purchase reward</x:v>
      </x:c>
      <x:c r="D167" s="46" t="n">
        <x:v>0</x:v>
      </x:c>
      <x:c r="E167" s="46" t="str">
        <x:v>USD</x:v>
      </x:c>
      <x:c r="F167" s="46" t="str">
        <x:v>California Clean Fuel Reward · 2024 Annual Report</x:v>
      </x:c>
      <x:c r="G167" s="46" t="str">
        <x:v>Overview / Platform Decommissioning</x:v>
      </x:c>
      <x:c r="H167" s="110" t="n">
        <x:v>46332</x:v>
      </x:c>
      <x:c r="I167" s="46" t="str">
        <x:v>https://cleanfuelreward.com/2024_CCFR_Annual_Report_Public.pdf</x:v>
      </x:c>
      <x:c r="J167" s="46" t="str">
        <x:v>Inactive. Program infrastructure decommissioned September 2024.</x:v>
      </x:c>
    </x:row>
    <x:row r="168" ht="63" customHeight="1">
      <x:c r="A168" s="38" t="str">
        <x:v>P24</x:v>
      </x:c>
      <x:c r="B168" s="46" t="str">
        <x:v>PG&amp;E</x:v>
      </x:c>
      <x:c r="C168" s="46" t="str">
        <x:v>Income-qualified used EV rebate</x:v>
      </x:c>
      <x:c r="D168" s="46" t="n">
        <x:v>4000</x:v>
      </x:c>
      <x:c r="E168" s="46" t="str">
        <x:v>USD</x:v>
      </x:c>
      <x:c r="F168" s="46" t="str">
        <x:v>PG&amp;E · Pre-Owned EV Rebate Program</x:v>
      </x:c>
      <x:c r="G168" s="46" t="str">
        <x:v>Vehicle Eligibility / Rebate Plus / deadline banner</x:v>
      </x:c>
      <x:c r="H168" s="110" t="n">
        <x:v>46332</x:v>
      </x:c>
      <x:c r="I168" s="46" t="str">
        <x:v>https://evrebates.pge.com/program-requirements</x:v>
      </x:c>
      <x:c r="J168" s="46" t="str">
        <x:v>Used only. Administrator lists Nov. 11, 2026 standard deadline, superseding SJCE's earlier Oct. 1 date. No amount applied to new EV.</x:v>
      </x:c>
    </x:row>
    <x:row r="169" ht="63" customHeight="1">
      <x:c r="A169" s="38" t="str">
        <x:v>P25</x:v>
      </x:c>
      <x:c r="B169" s="46" t="str">
        <x:v>PG&amp;E</x:v>
      </x:c>
      <x:c r="C169" s="46" t="str">
        <x:v>Charger + install ceiling</x:v>
      </x:c>
      <x:c r="D169" s="46" t="n">
        <x:v>2000</x:v>
      </x:c>
      <x:c r="E169" s="46" t="str">
        <x:v>USD</x:v>
      </x:c>
      <x:c r="F169" s="46" t="str">
        <x:v>PG&amp;E · Residential EV Charging Rebate</x:v>
      </x:c>
      <x:c r="G169" s="46" t="str">
        <x:v>Rebate Plus → charger and installation</x:v>
      </x:c>
      <x:c r="H169" s="110" t="n">
        <x:v>46332</x:v>
      </x:c>
      <x:c r="I169" s="46" t="str">
        <x:v>https://www.pge.com/en/clean-energy/electric-vehicles/getting-started-with-electric-vehicles/residential-electric-vehicle-charging-rebate.html</x:v>
      </x:c>
      <x:c r="J169" s="46" t="str">
        <x:v>Part 3 input. Check approved equipment, income, registration and preapproval/contractor requirements.</x:v>
      </x:c>
    </x:row>
    <x:row r="170" ht="63" customHeight="1">
      <x:c r="A170" s="38" t="str">
        <x:v>P26</x:v>
      </x:c>
      <x:c r="B170" s="46" t="str">
        <x:v>PG&amp;E</x:v>
      </x:c>
      <x:c r="C170" s="46" t="str">
        <x:v>Charger + required panel ceiling</x:v>
      </x:c>
      <x:c r="D170" s="46" t="n">
        <x:v>5000</x:v>
      </x:c>
      <x:c r="E170" s="46" t="str">
        <x:v>USD</x:v>
      </x:c>
      <x:c r="F170" s="46" t="str">
        <x:v>PG&amp;E · Residential EV Charging Rebate</x:v>
      </x:c>
      <x:c r="G170" s="46" t="str">
        <x:v>Rebate Plus → panel upgrade and charger</x:v>
      </x:c>
      <x:c r="H170" s="110" t="n">
        <x:v>46332</x:v>
      </x:c>
      <x:c r="I170" s="46" t="str">
        <x:v>https://www.pge.com/en/clean-energy/electric-vehicles/getting-started-with-electric-vehicles/residential-electric-vehicle-charging-rebate.html</x:v>
      </x:c>
      <x:c r="J170" s="46" t="str">
        <x:v>Part 3 input. Alternative to $2,000 install tier, depending on documented panel need.</x:v>
      </x:c>
    </x:row>
    <x:row r="171" ht="63" customHeight="1">
      <x:c r="A171" s="38" t="str">
        <x:v>P27</x:v>
      </x:c>
      <x:c r="B171" s="46" t="str">
        <x:v>CCFA</x:v>
      </x:c>
      <x:c r="C171" s="46" t="str">
        <x:v>Charger support ceiling</x:v>
      </x:c>
      <x:c r="D171" s="46" t="n">
        <x:v>2000</x:v>
      </x:c>
      <x:c r="E171" s="46" t="str">
        <x:v>USD</x:v>
      </x:c>
      <x:c r="F171" s="46" t="str">
        <x:v>Bay Area Air District · Eligibility</x:v>
      </x:c>
      <x:c r="G171" s="46" t="str">
        <x:v>Income → grant table footnote 2</x:v>
      </x:c>
      <x:c r="H171" s="110" t="n">
        <x:v>46332</x:v>
      </x:c>
      <x:c r="I171" s="46" t="str">
        <x:v>https://www.baaqmd.gov/en/funding-and-incentives/residents/clean-cars-for-all/eligibility</x:v>
      </x:c>
      <x:c r="J171" s="46" t="str">
        <x:v>Separate charger benefit tied to qualifying CCFA participation. Unavailable in the modeled Corolla case.</x:v>
      </x:c>
    </x:row>
    <x:row r="172" ht="63" customHeight="1">
      <x:c r="A172" s="38" t="str">
        <x:v>P28</x:v>
      </x:c>
      <x:c r="B172" s="46" t="str">
        <x:v>SJCE</x:v>
      </x:c>
      <x:c r="C172" s="46" t="str">
        <x:v>Managed charging bill credits</x:v>
      </x:c>
      <x:c r="D172" s="46" t="n">
        <x:v>36</x:v>
      </x:c>
      <x:c r="E172" s="46" t="str">
        <x:v>USD/yr</x:v>
      </x:c>
      <x:c r="F172" s="46" t="str">
        <x:v>San José Clean Energy · EV Instant Rebates</x:v>
      </x:c>
      <x:c r="G172" s="46" t="str">
        <x:v>More Savings → EV Charging at Home</x:v>
      </x:c>
      <x:c r="H172" s="110" t="n">
        <x:v>46332</x:v>
      </x:c>
      <x:c r="I172" s="46" t="str">
        <x:v>https://sanjosecleanenergy.org/ev-rebates/</x:v>
      </x:c>
      <x:c r="J172" s="46" t="str">
        <x:v>Potential Part 3 operating savings. Requires enrollment and ongoing eligibility.</x:v>
      </x:c>
    </x:row>
    <x:row r="173" ht="63" customHeight="1">
      <x:c r="A173" s="38" t="str">
        <x:v>P29</x:v>
      </x:c>
      <x:c r="B173" s="46" t="str">
        <x:v>SJCE</x:v>
      </x:c>
      <x:c r="C173" s="46" t="str">
        <x:v>Midday charging bonus</x:v>
      </x:c>
      <x:c r="D173" s="46" t="n">
        <x:v>160</x:v>
      </x:c>
      <x:c r="E173" s="46" t="str">
        <x:v>USD/yr</x:v>
      </x:c>
      <x:c r="F173" s="46" t="str">
        <x:v>San José Clean Energy · Midday Charging Bonus</x:v>
      </x:c>
      <x:c r="G173" s="46" t="str">
        <x:v>Peak Rewards Smart Homes → annual bill credits</x:v>
      </x:c>
      <x:c r="H173" s="110" t="n">
        <x:v>46332</x:v>
      </x:c>
      <x:c r="I173" s="46" t="str">
        <x:v>https://sanjosecleanenergy.org/charge-smarter-save-more-introducing-the-midday-charging-bonus/</x:v>
      </x:c>
      <x:c r="J173" s="46" t="str">
        <x:v>Part 3. Up to $160/year as an extra reward for eligible midday home charging.</x:v>
      </x:c>
    </x:row>
    <x:row r="174" ht="63" customHeight="1">
      <x:c r="A174" s="38" t="str">
        <x:v>P30</x:v>
      </x:c>
      <x:c r="B174" s="46" t="str">
        <x:v>CCFA</x:v>
      </x:c>
      <x:c r="C174" s="46" t="str">
        <x:v>Income basis and approval</x:v>
      </x:c>
      <x:c r="D174" s="46"/>
      <x:c r="E174" s="46"/>
      <x:c r="F174" s="46" t="str">
        <x:v>Bay Area Air District · Apply</x:v>
      </x:c>
      <x:c r="G174" s="46" t="str">
        <x:v>Announcement and application steps</x:v>
      </x:c>
      <x:c r="H174" s="110" t="n">
        <x:v>46332</x:v>
      </x:c>
      <x:c r="I174" s="46" t="str">
        <x:v>https://www.baaqmd.gov/en/funding-and-incentives/residents/clean-cars-for-all/apply?sc_lang=en</x:v>
      </x:c>
      <x:c r="J174" s="46" t="str">
        <x:v>Use Total Income for new applications from July 1, 2026. Obtain approval before purchase and retire the vehicle through CCFA.</x:v>
      </x:c>
    </x:row>
    <x:row r="175" ht="63" customHeight="1">
      <x:c r="A175" s="38" t="str">
        <x:v>P31</x:v>
      </x:c>
      <x:c r="B175" s="46" t="str">
        <x:v>RIDE</x:v>
      </x:c>
      <x:c r="C175" s="46" t="str">
        <x:v>Passenger trip threshold</x:v>
      </x:c>
      <x:c r="D175" s="46" t="n">
        <x:v>4500</x:v>
      </x:c>
      <x:c r="E175" s="46" t="str">
        <x:v>trips/yr</x:v>
      </x:c>
      <x:c r="F175" s="46" t="str">
        <x:v>CPUC · RIDE</x:v>
      </x:c>
      <x:c r="G175" s="46" t="str">
        <x:v>How do I apply for RIDE incentives?</x:v>
      </x:c>
      <x:c r="H175" s="110" t="n">
        <x:v>46332</x:v>
      </x:c>
      <x:c r="I175" s="46" t="str">
        <x:v>https://www.cpuc.ca.gov/industries-and-topics/transportation/ride</x:v>
      </x:c>
      <x:c r="J175" s="46" t="str">
        <x:v>Trips in prior 12 months on qualifying platforms and income ≤400% FPL. The assignment does not establish rideshare activity.</x:v>
      </x:c>
    </x:row>
    <x:row r="176" ht="63" customHeight="1">
      <x:c r="A176" s="38" t="str">
        <x:v>P32</x:v>
      </x:c>
      <x:c r="B176" s="46" t="str">
        <x:v>Other utility</x:v>
      </x:c>
      <x:c r="C176" s="46" t="str">
        <x:v>SVCE rebate in this case</x:v>
      </x:c>
      <x:c r="D176" s="46" t="n">
        <x:v>0</x:v>
      </x:c>
      <x:c r="E176" s="46" t="str">
        <x:v>USD</x:v>
      </x:c>
      <x:c r="F176" s="46" t="str">
        <x:v>Silicon Valley Clean Energy · Electric Vehicle Rebate</x:v>
      </x:c>
      <x:c r="G176" s="46" t="str">
        <x:v>Who's Eligible? → SVCE service required</x:v>
      </x:c>
      <x:c r="H176" s="110" t="n">
        <x:v>46332</x:v>
      </x:c>
      <x:c r="I176" s="46" t="str">
        <x:v>https://www.svcleanenergy.org/ev-rebate/</x:v>
      </x:c>
      <x:c r="J176" s="46" t="str">
        <x:v>Base assumes SJCE generation, which is default in San José. Confirm with bill. https://sanjosecleanenergy.org/faq/</x:v>
      </x:c>
    </x:row>
    <x:row r="177" ht="63" customHeight="1">
      <x:c r="A177" s="38" t="str">
        <x:v>P33</x:v>
      </x:c>
      <x:c r="B177" s="46" t="str">
        <x:v>Other utility</x:v>
      </x:c>
      <x:c r="C177" s="46" t="str">
        <x:v>MCE rebate in this case</x:v>
      </x:c>
      <x:c r="D177" s="46" t="n">
        <x:v>0</x:v>
      </x:c>
      <x:c r="E177" s="46" t="str">
        <x:v>USD</x:v>
      </x:c>
      <x:c r="F177" s="46" t="str">
        <x:v>Bay Area Air District · Other Clean Car Grants and Rebates</x:v>
      </x:c>
      <x:c r="G177" s="46" t="str">
        <x:v>MCEv Program → service-area rule</x:v>
      </x:c>
      <x:c r="H177" s="110" t="n">
        <x:v>46332</x:v>
      </x:c>
      <x:c r="I177" s="46" t="str">
        <x:v>https://www.baaqmd.gov/en/funding-and-incentives/residents/clean-cars-for-all/resources/other-clean-car-grants-and-rebates?sc_lang=en</x:v>
      </x:c>
      <x:c r="J177" s="46" t="str">
        <x:v>MCE customer required. No overlap modeled with SJCE service.</x:v>
      </x:c>
    </x:row>
    <x:row r="178" ht="63" customHeight="1">
      <x:c r="A178" s="38" t="str">
        <x:v>P34</x:v>
      </x:c>
      <x:c r="B178" s="46" t="str">
        <x:v>Other utility</x:v>
      </x:c>
      <x:c r="C178" s="46" t="str">
        <x:v>Peninsula / Westlight rebate in this case</x:v>
      </x:c>
      <x:c r="D178" s="46" t="n">
        <x:v>0</x:v>
      </x:c>
      <x:c r="E178" s="46" t="str">
        <x:v>USD</x:v>
      </x:c>
      <x:c r="F178" s="46" t="str">
        <x:v>Bay Area Air District · Other Clean Car Grants and Rebates</x:v>
      </x:c>
      <x:c r="G178" s="46" t="str">
        <x:v>Westlight Energy → used EV rebate</x:v>
      </x:c>
      <x:c r="H178" s="110" t="n">
        <x:v>46332</x:v>
      </x:c>
      <x:c r="I178" s="46" t="str">
        <x:v>https://www.baaqmd.gov/en/funding-and-incentives/residents/clean-cars-for-all/resources/other-clean-car-grants-and-rebates?sc_lang=en</x:v>
      </x:c>
      <x:c r="J178" s="46" t="str">
        <x:v>Used vehicle program for its service territory. No new San José purchase benefit.</x:v>
      </x:c>
    </x:row>
    <x:row r="179" ht="63" customHeight="1">
      <x:c r="A179" s="38" t="str">
        <x:v>P35</x:v>
      </x:c>
      <x:c r="B179" s="46" t="str">
        <x:v>Federal</x:v>
      </x:c>
      <x:c r="C179" s="46" t="str">
        <x:v>Residential charger credit for Nov. 2026</x:v>
      </x:c>
      <x:c r="D179" s="46" t="n">
        <x:v>0</x:v>
      </x:c>
      <x:c r="E179" s="46" t="str">
        <x:v>USD</x:v>
      </x:c>
      <x:c r="F179" s="46" t="str">
        <x:v>IRS · Alternative Fuel Vehicle Refueling Property Credit</x:v>
      </x:c>
      <x:c r="G179" s="46" t="str">
        <x:v>How much is the credit? → main home placed-in-service dates</x:v>
      </x:c>
      <x:c r="H179" s="110" t="n">
        <x:v>46332</x:v>
      </x:c>
      <x:c r="I179" s="46" t="str">
        <x:v>https://www.irs.gov/credits-deductions/alternative-fuel-vehicle-refueling-property-credit</x:v>
      </x:c>
      <x:c r="J179" s="46" t="str">
        <x:v>§30C home credit window ends June 30, 2026. Save for Part 3.</x:v>
      </x:c>
    </x:row>
    <x:row r="180" ht="63" customHeight="1">
      <x:c r="A180" s="38" t="str">
        <x:v>P36</x:v>
      </x:c>
      <x:c r="B180" s="46" t="str">
        <x:v>Household</x:v>
      </x:c>
      <x:c r="C180" s="46" t="str">
        <x:v>Corolla private sale</x:v>
      </x:c>
      <x:c r="D180" s="46" t="n">
        <x:v>3000</x:v>
      </x:c>
      <x:c r="E180" s="46" t="str">
        <x:v>USD</x:v>
      </x:c>
      <x:c r="F180" s="46" t="str">
        <x:v>Problem Set 2</x:v>
      </x:c>
      <x:c r="G180" s="46" t="str">
        <x:v>Opening household scenario</x:v>
      </x:c>
      <x:c r="H180" s="110" t="n">
        <x:v>46332</x:v>
      </x:c>
      <x:c r="I180" s="46" t="str">
        <x:v>C:/Users/elste/Documents/Eliots Second Brain/Fall 2026 MIIS classes/Renewable Energy/Problem Set 2.md</x:v>
      </x:c>
      <x:c r="J180" s="46" t="str">
        <x:v>Assignment default for disposal. The $3,000 private sale is deducted once after calculating the EV purchase price. Sale and retirement payments are alternatives.</x:v>
      </x:c>
    </x:row>
    <x:row r="181" ht="63" customHeight="1">
      <x:c r="A181" s="38" t="str">
        <x:v>P37</x:v>
      </x:c>
      <x:c r="B181" s="46" t="str">
        <x:v>CCFA</x:v>
      </x:c>
      <x:c r="C181" s="46" t="str">
        <x:v>No dual retirement funding</x:v>
      </x:c>
      <x:c r="D181" s="46"/>
      <x:c r="E181" s="46"/>
      <x:c r="F181" s="46" t="str">
        <x:v>Bay Area Air District · Eligibility</x:v>
      </x:c>
      <x:c r="G181" s="46" t="str">
        <x:v>New Applicant → same vehicle cannot be sold or retired via CAP or Vehicle Buy Back</x:v>
      </x:c>
      <x:c r="H181" s="110" t="n">
        <x:v>46332</x:v>
      </x:c>
      <x:c r="I181" s="46" t="str">
        <x:v>https://www.baaqmd.gov/en/funding-and-incentives/residents/clean-cars-for-all/eligibility</x:v>
      </x:c>
      <x:c r="J181" s="46" t="str">
        <x:v>Retirement selector prevents simultaneous payments.</x:v>
      </x:c>
    </x:row>
    <x:row r="182" ht="63" customHeight="1">
      <x:c r="A182" s="38" t="str">
        <x:v>P38</x:v>
      </x:c>
      <x:c r="B182" s="46" t="str">
        <x:v>SJCE</x:v>
      </x:c>
      <x:c r="C182" s="46" t="str">
        <x:v>Service assumption</x:v>
      </x:c>
      <x:c r="D182" s="46"/>
      <x:c r="E182" s="46"/>
      <x:c r="F182" s="46" t="str">
        <x:v>San José Clean Energy · FAQ</x:v>
      </x:c>
      <x:c r="G182" s="46" t="str">
        <x:v>Why is enrollment automatic?</x:v>
      </x:c>
      <x:c r="H182" s="110" t="n">
        <x:v>46332</x:v>
      </x:c>
      <x:c r="I182" s="46" t="str">
        <x:v>https://sanjosecleanenergy.org/faq/</x:v>
      </x:c>
      <x:c r="J182" s="46" t="str">
        <x:v>SJCE is default generation service, with opt-out available. Household service is assumed from assignment location, not verified.</x:v>
      </x:c>
    </x:row>
    <x:row r="183" ht="63" customHeight="1">
      <x:c r="A183" s="38" t="str">
        <x:v>P39</x:v>
      </x:c>
      <x:c r="B183" s="46" t="str">
        <x:v>MyFirstEV</x:v>
      </x:c>
      <x:c r="C183" s="46" t="str">
        <x:v>Minimum new model year</x:v>
      </x:c>
      <x:c r="D183" s="46" t="n">
        <x:v>2026</x:v>
      </x:c>
      <x:c r="E183" s="46" t="str">
        <x:v>MY</x:v>
      </x:c>
      <x:c r="F183" s="46" t="str">
        <x:v>CARB · MyFirstEV FAQ</x:v>
      </x:c>
      <x:c r="G183" s="46" t="str">
        <x:v>Which vehicles qualify?</x:v>
      </x:c>
      <x:c r="H183" s="110" t="n">
        <x:v>46332</x:v>
      </x:c>
      <x:c r="I183" s="46" t="str">
        <x:v>https://ww2.arb.ca.gov/resources/fact-sheets/myfirstev-frequently-asked-questions/printable/print</x:v>
      </x:c>
      <x:c r="J183" s="46" t="str">
        <x:v>A matching manufacturer offer is still required.</x:v>
      </x:c>
    </x:row>
    <x:row r="184" ht="63" customHeight="1">
      <x:c r="A184" s="38" t="str">
        <x:v>P40</x:v>
      </x:c>
      <x:c r="B184" s="46" t="str">
        <x:v>MyFirstEV</x:v>
      </x:c>
      <x:c r="C184" s="46" t="str">
        <x:v>Bolt program lead</x:v>
      </x:c>
      <x:c r="D184" s="46"/>
      <x:c r="E184" s="46"/>
      <x:c r="F184" s="46" t="str">
        <x:v>Martin Chevrolet · 2027 Bolt LT FWD</x:v>
      </x:c>
      <x:c r="G184" s="46" t="str">
        <x:v>Dealer Comments → GM My First EV program</x:v>
      </x:c>
      <x:c r="H184" s="110" t="n">
        <x:v>46332</x:v>
      </x:c>
      <x:c r="I184" s="46" t="str">
        <x:v>https://www.socalchevy.com/inventory/new-2027-chevrolet-bolt-lt-1g1fy6ev1vf125192/</x:v>
      </x:c>
      <x:c r="J184" s="46" t="str">
        <x:v>Historical exact-trim listing showed $3,500 through Nov. 2. Use P72 for the Nov. 6 listing at a San Jose dealer.</x:v>
      </x:c>
    </x:row>
    <x:row r="185" ht="63" customHeight="1">
      <x:c r="A185" s="38" t="str">
        <x:v>P41</x:v>
      </x:c>
      <x:c r="B185" s="46" t="str">
        <x:v>MyFirstEV</x:v>
      </x:c>
      <x:c r="C185" s="46" t="str">
        <x:v>Subaru confirmation</x:v>
      </x:c>
      <x:c r="D185" s="46" t="n">
        <x:v>3500</x:v>
      </x:c>
      <x:c r="E185" s="46" t="str">
        <x:v>USD</x:v>
      </x:c>
      <x:c r="F185" s="46" t="str">
        <x:v>Subaru · California MyFirstEV</x:v>
      </x:c>
      <x:c r="G185" s="46" t="str">
        <x:v>Which vehicles qualify? → MY 2026+ Solterra and Uncharted</x:v>
      </x:c>
      <x:c r="H185" s="110" t="n">
        <x:v>46332</x:v>
      </x:c>
      <x:c r="I185" s="46" t="str">
        <x:v>https://www.subaru.com/myfirstev</x:v>
      </x:c>
      <x:c r="J185" s="46" t="str">
        <x:v>Exact model and model year covered, subject to offer conditions.</x:v>
      </x:c>
    </x:row>
    <x:row r="186" ht="63" customHeight="1">
      <x:c r="A186" s="38" t="str">
        <x:v>P42</x:v>
      </x:c>
      <x:c r="B186" s="46" t="str">
        <x:v>MyFirstEV</x:v>
      </x:c>
      <x:c r="C186" s="46" t="str">
        <x:v>Equinox program lead</x:v>
      </x:c>
      <x:c r="D186" s="46"/>
      <x:c r="E186" s="46"/>
      <x:c r="F186" s="46" t="str">
        <x:v>Stevens Creek Chevrolet · 2026 Equinox EV LT</x:v>
      </x:c>
      <x:c r="G186" s="46" t="str">
        <x:v>Lease terms → $3,500 CA My First EV</x:v>
      </x:c>
      <x:c r="H186" s="110" t="n">
        <x:v>46332</x:v>
      </x:c>
      <x:c r="I186" s="46" t="str">
        <x:v>https://www.stevenscreekchevy.com/offerdetails-New-San-Jose-California-299mo-%2B-tax-for-24-mos-w5549-due-at-signing-1978820</x:v>
      </x:c>
      <x:c r="J186" s="46" t="str">
        <x:v>Local dealer lists model but lease ad contains both Oct. 31 and Dec. 5 expiration dates. Hold out of purchase base until dealer verifies.</x:v>
      </x:c>
    </x:row>
    <x:row r="187" ht="63" customHeight="1">
      <x:c r="A187" s="38" t="str">
        <x:v>P43</x:v>
      </x:c>
      <x:c r="B187" s="46" t="str">
        <x:v>MyFirstEV</x:v>
      </x:c>
      <x:c r="C187" s="46" t="str">
        <x:v>2026 C-HR confirmation</x:v>
      </x:c>
      <x:c r="D187" s="46" t="n">
        <x:v>3500</x:v>
      </x:c>
      <x:c r="E187" s="46" t="str">
        <x:v>USD</x:v>
      </x:c>
      <x:c r="F187" s="46" t="str">
        <x:v>Toyota · 2026 C-HR Offer Details</x:v>
      </x:c>
      <x:c r="G187" s="46" t="str">
        <x:v>Targeted Certificate → 2026 C-HR MyFirstEV, both trims, Nov. 30</x:v>
      </x:c>
      <x:c r="H187" s="110" t="n">
        <x:v>46332</x:v>
      </x:c>
      <x:c r="I187" s="46" t="str">
        <x:v>https://www.toyota.com/socal/deals-incentives/chr_cash_340b55e5-e62c-44ba-b566-023c0f8b103d/?vehicles=chr</x:v>
      </x:c>
      <x:c r="J187" s="46" t="str">
        <x:v>Toyota $1,750 share plus CARB $1,750 is one $3,500 incentive.</x:v>
      </x:c>
    </x:row>
    <x:row r="188" ht="63" customHeight="1">
      <x:c r="A188" s="38" t="str">
        <x:v>P44</x:v>
      </x:c>
      <x:c r="B188" s="46" t="str">
        <x:v>MyFirstEV</x:v>
      </x:c>
      <x:c r="C188" s="46" t="str">
        <x:v>2027 IONIQ 5 SE confirmation</x:v>
      </x:c>
      <x:c r="D188" s="46" t="n">
        <x:v>3500</x:v>
      </x:c>
      <x:c r="E188" s="46" t="str">
        <x:v>USD</x:v>
      </x:c>
      <x:c r="F188" s="46" t="str">
        <x:v>Hyundai Santa Monica · 2027 IONIQ 5 SE RWD</x:v>
      </x:c>
      <x:c r="G188" s="46" t="str">
        <x:v>VIN ending 080561 → MyFirstEV California offer</x:v>
      </x:c>
      <x:c r="H188" s="110" t="n">
        <x:v>46332</x:v>
      </x:c>
      <x:c r="I188" s="46" t="str">
        <x:v>https://www.hyundaisantamonica.com/new/Hyundai/2027-Hyundai-IONIQ-5-0ae4a1c7ac18250c48c621dfbe930c34.htm</x:v>
      </x:c>
      <x:c r="J188" s="46" t="str">
        <x:v>California dealer shows 2027 SE RWD. Hyundai national program page describes the 2026 lineup; confirm dealer redemption for the exact purchase.</x:v>
      </x:c>
    </x:row>
    <x:row r="189" ht="63" customHeight="1">
      <x:c r="A189" s="38" t="str">
        <x:v>P45</x:v>
      </x:c>
      <x:c r="B189" s="46" t="str">
        <x:v>MyFirstEV</x:v>
      </x:c>
      <x:c r="C189" s="46" t="str">
        <x:v>2027 bZ program lead</x:v>
      </x:c>
      <x:c r="D189" s="46"/>
      <x:c r="E189" s="46"/>
      <x:c r="F189" s="46" t="str">
        <x:v>Toyota NorCal · 2027 bZ Offers</x:v>
      </x:c>
      <x:c r="G189" s="46" t="str">
        <x:v>2027 bZ current offers plus prior financial-estimate offer</x:v>
      </x:c>
      <x:c r="H189" s="110" t="n">
        <x:v>46332</x:v>
      </x:c>
      <x:c r="I189" s="46" t="str">
        <x:v>https://www.toyota.com/norcal/deals-incentives/bz_apr_61b9323f-bbe4-47b1-b642-7548e0e742ec/?vehicles=bz</x:v>
      </x:c>
      <x:c r="J189" s="46" t="str">
        <x:v>Current Nov. page shows MyNextEV for returning buyers. Prior MyFirstEV offer expired Sept. 30 (P46). Current bZ Woodland offers are a different model.</x:v>
      </x:c>
    </x:row>
    <x:row r="190" ht="63" customHeight="1">
      <x:c r="A190" s="38" t="str">
        <x:v>P46</x:v>
      </x:c>
      <x:c r="B190" s="46" t="str">
        <x:v>MyFirstEV</x:v>
      </x:c>
      <x:c r="C190" s="46" t="str">
        <x:v>Older bZ offer</x:v>
      </x:c>
      <x:c r="D190" s="46" t="n">
        <x:v>3500</x:v>
      </x:c>
      <x:c r="E190" s="46" t="str">
        <x:v>USD</x:v>
      </x:c>
      <x:c r="F190" s="46" t="str">
        <x:v>Toyota NorCal · bZ Financial Estimates</x:v>
      </x:c>
      <x:c r="G190" s="46" t="str">
        <x:v>2027 bZ MyFirstEV → expiration Sept. 30, 2026</x:v>
      </x:c>
      <x:c r="H190" s="110" t="n">
        <x:v>46332</x:v>
      </x:c>
      <x:c r="I190" s="46" t="str">
        <x:v>https://www.toyota.com/norcal/deals-incentives/financial-estimates-bz/?vehicles=bz</x:v>
      </x:c>
      <x:c r="J190" s="46" t="str">
        <x:v>Prior exact-model offer, retained as history only.</x:v>
      </x:c>
    </x:row>
    <x:row r="191" ht="63" customHeight="1">
      <x:c r="A191" s="38" t="str">
        <x:v>P47</x:v>
      </x:c>
      <x:c r="B191" s="46" t="str">
        <x:v>MyFirstEV</x:v>
      </x:c>
      <x:c r="C191" s="46" t="str">
        <x:v>2026 EX30 confirmation</x:v>
      </x:c>
      <x:c r="D191" s="46" t="n">
        <x:v>3500</x:v>
      </x:c>
      <x:c r="E191" s="46" t="str">
        <x:v>USD</x:v>
      </x:c>
      <x:c r="F191" s="46" t="str">
        <x:v>Volvo Cars USA · MyFirstEV</x:v>
      </x:c>
      <x:c r="G191" s="46" t="str">
        <x:v>Eligibility → new MY26 Volvo EX30</x:v>
      </x:c>
      <x:c r="H191" s="110" t="n">
        <x:v>46332</x:v>
      </x:c>
      <x:c r="I191" s="46" t="str">
        <x:v>https://www.volvocars.com/us/l/my-first-ev/</x:v>
      </x:c>
      <x:c r="J191" s="46" t="str">
        <x:v>Volvo's offer applies to an eligible CA purchase or lease while funds last.</x:v>
      </x:c>
    </x:row>
    <x:row r="192" ht="63" customHeight="1">
      <x:c r="A192" s="38" t="str">
        <x:v>P48</x:v>
      </x:c>
      <x:c r="B192" s="46" t="str">
        <x:v>MyFirstEV</x:v>
      </x:c>
      <x:c r="C192" s="46" t="str">
        <x:v>2026 EV6 confirmation</x:v>
      </x:c>
      <x:c r="D192" s="46" t="n">
        <x:v>3500</x:v>
      </x:c>
      <x:c r="E192" s="46" t="str">
        <x:v>USD</x:v>
      </x:c>
      <x:c r="F192" s="46" t="str">
        <x:v>Kia USA · Offers</x:v>
      </x:c>
      <x:c r="G192" s="46" t="str">
        <x:v>EV6 → 2026 MyFirstEV offer</x:v>
      </x:c>
      <x:c r="H192" s="110" t="n">
        <x:v>46332</x:v>
      </x:c>
      <x:c r="I192" s="46" t="str">
        <x:v>https://www.kia.com/us/en/offers/result?offers=3%2C1%2C4&amp;seriesId=9AE%2CNAE%2CGAE%2CPAE&amp;year=2026&amp;zipCode=93306</x:v>
      </x:c>
      <x:c r="J192" s="46" t="str">
        <x:v>Kia also advertises a separate $5,000 purchase offer. The exact trim and stack were not verified for this scenario.</x:v>
      </x:c>
    </x:row>
    <x:row r="193" ht="63" customHeight="1">
      <x:c r="A193" s="38" t="str">
        <x:v>P49</x:v>
      </x:c>
      <x:c r="B193" s="46" t="str">
        <x:v>MyFirstEV</x:v>
      </x:c>
      <x:c r="C193" s="46" t="str">
        <x:v>2026 Mach-E confirmation</x:v>
      </x:c>
      <x:c r="D193" s="46" t="n">
        <x:v>3500</x:v>
      </x:c>
      <x:c r="E193" s="46" t="str">
        <x:v>USD</x:v>
      </x:c>
      <x:c r="F193" s="46" t="str">
        <x:v>Ford · Northern California Local Offers</x:v>
      </x:c>
      <x:c r="G193" s="46" t="str">
        <x:v>EV First-Time Buyer Incentive MyFirstEV</x:v>
      </x:c>
      <x:c r="H193" s="110" t="n">
        <x:v>46332</x:v>
      </x:c>
      <x:c r="I193" s="46" t="str">
        <x:v>https://www.ford.com/local/san-francisco-sacramento-fresno/?fdguid=SH-FDAF-c8e8edd6-16c7-88c9-6de4-437081118f6c</x:v>
      </x:c>
      <x:c r="J193" s="46" t="str">
        <x:v>Ford confirms new EV purchase offer. P50 checks the specific model year. Confirm exact inventory and combinations at the dealer.</x:v>
      </x:c>
    </x:row>
    <x:row r="194" ht="63" customHeight="1">
      <x:c r="A194" s="38" t="str">
        <x:v>P50</x:v>
      </x:c>
      <x:c r="B194" s="46" t="str">
        <x:v>MyFirstEV</x:v>
      </x:c>
      <x:c r="C194" s="46" t="str">
        <x:v>Mach-E model and cash terms</x:v>
      </x:c>
      <x:c r="D194" s="46" t="n">
        <x:v>3500</x:v>
      </x:c>
      <x:c r="E194" s="46" t="str">
        <x:v>USD</x:v>
      </x:c>
      <x:c r="F194" s="46" t="str">
        <x:v>Southern California Ford Dealers · 2026 Mustang Mach-E</x:v>
      </x:c>
      <x:c r="G194" s="46" t="str">
        <x:v>MyFirstEV California Cash offer terms</x:v>
      </x:c>
      <x:c r="H194" s="110" t="n">
        <x:v>46332</x:v>
      </x:c>
      <x:c r="I194" s="46" t="str">
        <x:v>https://www.socalforddealers.com/model/2026-ford-mustang-mach-e.html</x:v>
      </x:c>
      <x:c r="J194" s="46" t="str">
        <x:v>Model listed. Cash terms say not compatible with Retail Customer Cash.</x:v>
      </x:c>
    </x:row>
    <x:row r="195" ht="63" customHeight="1">
      <x:c r="A195" s="38" t="str">
        <x:v>P51</x:v>
      </x:c>
      <x:c r="B195" s="46" t="str">
        <x:v>MyFirstEV</x:v>
      </x:c>
      <x:c r="C195" s="46" t="str">
        <x:v>2026 RZ 350e confirmation</x:v>
      </x:c>
      <x:c r="D195" s="46" t="n">
        <x:v>3500</x:v>
      </x:c>
      <x:c r="E195" s="46" t="str">
        <x:v>USD</x:v>
      </x:c>
      <x:c r="F195" s="46" t="str">
        <x:v>Lexus of Pleasanton · 2026 RZ 350e</x:v>
      </x:c>
      <x:c r="G195" s="46" t="str">
        <x:v>VIN ending 012986 → MyFirstEV California on select models</x:v>
      </x:c>
      <x:c r="H195" s="110" t="n">
        <x:v>46332</x:v>
      </x:c>
      <x:c r="I195" s="46" t="str">
        <x:v>https://www.lexusofpleasanton.com/new/LEXUS/2026-LEXUS-RZ-350e-a477de63ac182461e020f7bc8f636d10.htm</x:v>
      </x:c>
      <x:c r="J195" s="46" t="str">
        <x:v>Exact model shown on current listing. $3,000 Lexus Cash also listed through Nov. 30. Combination with MyFirstEV not verified.</x:v>
      </x:c>
    </x:row>
    <x:row r="196" ht="63" customHeight="1">
      <x:c r="A196" s="38" t="str">
        <x:v>P52</x:v>
      </x:c>
      <x:c r="B196" s="46" t="str">
        <x:v>SJCE</x:v>
      </x:c>
      <x:c r="C196" s="46" t="str">
        <x:v>Eligible dealer roster</x:v>
      </x:c>
      <x:c r="D196" s="46"/>
      <x:c r="E196" s="46"/>
      <x:c r="F196" s="46" t="str">
        <x:v>San José Clean Energy · Participating Dealerships</x:v>
      </x:c>
      <x:c r="G196" s="46" t="str">
        <x:v>October 14, 2026 list, pp. 1–3</x:v>
      </x:c>
      <x:c r="H196" s="110" t="n">
        <x:v>46332</x:v>
      </x:c>
      <x:c r="I196" s="46" t="str">
        <x:v>https://sanjosecleanenergy.org/wp-content/uploads/2026/10/SJCE-EV-Instant-Rebates_Dealer-List_v261014-2.pdf</x:v>
      </x:c>
      <x:c r="J196" s="46" t="str">
        <x:v>Use matching franchise examples in row-level evidence. Exact in-stock trim and price at participating seller still required.</x:v>
      </x:c>
    </x:row>
    <x:row r="197" ht="63" customHeight="1">
      <x:c r="A197" s="38" t="str">
        <x:v>P53</x:v>
      </x:c>
      <x:c r="B197" s="46" t="str">
        <x:v>SJCE</x:v>
      </x:c>
      <x:c r="C197" s="46" t="str">
        <x:v>Qualifying product list</x:v>
      </x:c>
      <x:c r="D197" s="46"/>
      <x:c r="E197" s="46"/>
      <x:c r="F197" s="46" t="str">
        <x:v>San José Clean Energy · Qualifying Products List</x:v>
      </x:c>
      <x:c r="G197" s="46" t="str">
        <x:v>Oct. 7, 2026 revision, pp. 1–39</x:v>
      </x:c>
      <x:c r="H197" s="110" t="n">
        <x:v>46332</x:v>
      </x:c>
      <x:c r="I197" s="46" t="str">
        <x:v>https://sanjosecleanenergy.org/wp-content/uploads/2026/10/SJCE-EV-Instant-Rebates_QPL_v261007.pdf</x:v>
      </x:c>
      <x:c r="J197" s="46" t="str">
        <x:v>Match model year and configuration. A matching vehicle still requires a qualifying seller.</x:v>
      </x:c>
    </x:row>
    <x:row r="198" ht="63" customHeight="1">
      <x:c r="A198" s="38" t="str">
        <x:v>P54</x:v>
      </x:c>
      <x:c r="B198" s="46" t="str">
        <x:v>Research</x:v>
      </x:c>
      <x:c r="C198" s="46" t="str">
        <x:v>Research attachment provenance</x:v>
      </x:c>
      <x:c r="D198" s="46"/>
      <x:c r="E198" s="46"/>
      <x:c r="F198" s="46" t="str">
        <x:v>San Jose EV Incentive Research</x:v>
      </x:c>
      <x:c r="G198" s="46" t="str">
        <x:v>Sections 1–9 → program leads</x:v>
      </x:c>
      <x:c r="H198" s="110" t="n">
        <x:v>46332</x:v>
      </x:c>
      <x:c r="I198" s="46" t="str">
        <x:v>C:/Users/elste/Documents/Codex/2026-11-06/referenced-chatgpt-conversation-this-is-an/outputs/San Jose EV Incentive Research.md</x:v>
      </x:c>
      <x:c r="J198" s="46" t="str">
        <x:v>Used as preliminary research. Eligibility and amounts in this workbook cite independent program, manufacturer or dealer sources.</x:v>
      </x:c>
    </x:row>
    <x:row r="199" ht="63" customHeight="1">
      <x:c r="A199" s="38" t="str">
        <x:v>P55</x:v>
      </x:c>
      <x:c r="B199" s="46" t="str">
        <x:v>CAP</x:v>
      </x:c>
      <x:c r="C199" s="46" t="str">
        <x:v>Failed-test award without income limit</x:v>
      </x:c>
      <x:c r="D199" s="46" t="n">
        <x:v>1350</x:v>
      </x:c>
      <x:c r="E199" s="46" t="str">
        <x:v>USD</x:v>
      </x:c>
      <x:c r="F199" s="46" t="str">
        <x:v>California BAR · Retire your vehicle</x:v>
      </x:c>
      <x:c r="G199" s="46" t="str">
        <x:v>Step 1 → $1,350 incentive</x:v>
      </x:c>
      <x:c r="H199" s="110" t="n">
        <x:v>46332</x:v>
      </x:c>
      <x:c r="I199" s="46" t="str">
        <x:v>https://www.bar.ca.gov/cap/retirement</x:v>
      </x:c>
      <x:c r="J199" s="46" t="str">
        <x:v>Still requires a qualifying failed Smog Check and approval.</x:v>
      </x:c>
    </x:row>
    <x:row r="200" ht="63" customHeight="1">
      <x:c r="A200" s="38" t="str">
        <x:v>P56</x:v>
      </x:c>
      <x:c r="B200" s="46" t="str">
        <x:v>Offers</x:v>
      </x:c>
      <x:c r="C200" s="46" t="str">
        <x:v>Verified separate manufacturer cash</x:v>
      </x:c>
      <x:c r="D200" s="46"/>
      <x:c r="E200" s="46"/>
      <x:c r="F200" s="46" t="str">
        <x:v>Kia USA, Lexus of Pleasanton and Toyota NorCal</x:v>
      </x:c>
      <x:c r="G200" s="46" t="str">
        <x:v>P48, P51 and P45 offer details</x:v>
      </x:c>
      <x:c r="H200" s="110" t="n">
        <x:v>46332</x:v>
      </x:c>
      <x:c r="I200" s="46" t="str">
        <x:v>https://www.lexusofpleasanton.com/new/LEXUS/2026-LEXUS-RZ-350e-a477de63ac182461e020f7bc8f636d10.htm</x:v>
      </x:c>
      <x:c r="J200" s="46" t="str">
        <x:v>Do not assume stacking, financing or membership. Toyota MyNextEV is for returning EV buyers. Lexus and Kia purchase cash remain alternative dealer-quote leads.</x:v>
      </x:c>
    </x:row>
    <x:row r="201" ht="63" customHeight="1">
      <x:c r="A201" s="38" t="str">
        <x:v>P57</x:v>
      </x:c>
      <x:c r="B201" s="46" t="str">
        <x:v>Chevrolet Bolt</x:v>
      </x:c>
      <x:c r="C201" s="46" t="str">
        <x:v>SJCE vehicle/dealer screen</x:v>
      </x:c>
      <x:c r="D201" s="46" t="str">
        <x:v>Yes</x:v>
      </x:c>
      <x:c r="E201" s="46"/>
      <x:c r="F201" s="46" t="str">
        <x:v>San José Clean Energy · Qualifying Products List</x:v>
      </x:c>
      <x:c r="G201" s="46" t="str">
        <x:v>2027 LT FWD → PDF p. 10</x:v>
      </x:c>
      <x:c r="H201" s="110" t="n">
        <x:v>46332</x:v>
      </x:c>
      <x:c r="I201" s="46" t="str">
        <x:v>https://sanjosecleanenergy.org/wp-content/uploads/2026/10/SJCE-EV-Instant-Rebates_QPL_v261007.pdf#page=10</x:v>
      </x:c>
      <x:c r="J201" s="46" t="str">
        <x:v>Capitol Chevrolet (p. 1) and Stevens Creek Chevrolet (p. 2) are on dealer roster P52. P72 verifies the $3,500 state incentive on a current exact-trim Bolt at Stevens Creek.</x:v>
      </x:c>
    </x:row>
    <x:row r="202" ht="63" customHeight="1">
      <x:c r="A202" s="38" t="str">
        <x:v>P58</x:v>
      </x:c>
      <x:c r="B202" s="46" t="str">
        <x:v>Subaru Uncharted</x:v>
      </x:c>
      <x:c r="C202" s="46" t="str">
        <x:v>SJCE vehicle/dealer screen</x:v>
      </x:c>
      <x:c r="D202" s="46" t="str">
        <x:v>Yes</x:v>
      </x:c>
      <x:c r="E202" s="46"/>
      <x:c r="F202" s="46" t="str">
        <x:v>San José Clean Energy · Qualifying Products List</x:v>
      </x:c>
      <x:c r="G202" s="46" t="str">
        <x:v>2026 Premium FWD → PDF p. 31</x:v>
      </x:c>
      <x:c r="H202" s="110" t="n">
        <x:v>46332</x:v>
      </x:c>
      <x:c r="I202" s="46" t="str">
        <x:v>https://sanjosecleanenergy.org/wp-content/uploads/2026/10/SJCE-EV-Instant-Rebates_QPL_v261007.pdf#page=31</x:v>
      </x:c>
      <x:c r="J202" s="46" t="str">
        <x:v>Capitol Subaru (p. 1). Dealer roster P52. MyFirstEV basis P41. Subaru lists 2026+ Uncharted.</x:v>
      </x:c>
    </x:row>
    <x:row r="203" ht="63" customHeight="1">
      <x:c r="A203" s="38" t="str">
        <x:v>P59</x:v>
      </x:c>
      <x:c r="B203" s="46" t="str">
        <x:v>Chevrolet Equinox EV</x:v>
      </x:c>
      <x:c r="C203" s="46" t="str">
        <x:v>SJCE vehicle/dealer screen</x:v>
      </x:c>
      <x:c r="D203" s="46" t="str">
        <x:v>Yes</x:v>
      </x:c>
      <x:c r="E203" s="46"/>
      <x:c r="F203" s="46" t="str">
        <x:v>San José Clean Energy · Qualifying Products List</x:v>
      </x:c>
      <x:c r="G203" s="46" t="str">
        <x:v>2026 LT 1 FWD → PDF p. 10</x:v>
      </x:c>
      <x:c r="H203" s="110" t="n">
        <x:v>46332</x:v>
      </x:c>
      <x:c r="I203" s="46" t="str">
        <x:v>https://sanjosecleanenergy.org/wp-content/uploads/2026/10/SJCE-EV-Instant-Rebates_QPL_v261007.pdf#page=10</x:v>
      </x:c>
      <x:c r="J203" s="46" t="str">
        <x:v>Stevens Creek Chevrolet appears on P52 p. 2. P73 verifies a $3,500 MyFirstEV purchase offer on a matching LT 1 FWD VIN.</x:v>
      </x:c>
    </x:row>
    <x:row r="204" ht="63" customHeight="1">
      <x:c r="A204" s="38" t="str">
        <x:v>P60</x:v>
      </x:c>
      <x:c r="B204" s="46" t="str">
        <x:v>Toyota C-HR</x:v>
      </x:c>
      <x:c r="C204" s="46" t="str">
        <x:v>SJCE vehicle/dealer screen</x:v>
      </x:c>
      <x:c r="D204" s="46" t="str">
        <x:v>Yes</x:v>
      </x:c>
      <x:c r="E204" s="46"/>
      <x:c r="F204" s="46" t="str">
        <x:v>San José Clean Energy · Qualifying Products List</x:v>
      </x:c>
      <x:c r="G204" s="46" t="str">
        <x:v>2026 SE AWD → PDF p. 37</x:v>
      </x:c>
      <x:c r="H204" s="110" t="n">
        <x:v>46332</x:v>
      </x:c>
      <x:c r="I204" s="46" t="str">
        <x:v>https://sanjosecleanenergy.org/wp-content/uploads/2026/10/SJCE-EV-Instant-Rebates_QPL_v261007.pdf#page=37</x:v>
      </x:c>
      <x:c r="J204" s="46" t="str">
        <x:v>Stevens Creek Toyota (p. 2). Dealer roster P52. MyFirstEV basis P43. Toyota lists both 2026 C-HR trims.</x:v>
      </x:c>
    </x:row>
    <x:row r="205" ht="63" customHeight="1">
      <x:c r="A205" s="38" t="str">
        <x:v>P61</x:v>
      </x:c>
      <x:c r="B205" s="46" t="str">
        <x:v>Hyundai IONIQ 5</x:v>
      </x:c>
      <x:c r="C205" s="46" t="str">
        <x:v>SJCE vehicle/dealer screen</x:v>
      </x:c>
      <x:c r="D205" s="46" t="str">
        <x:v>Yes</x:v>
      </x:c>
      <x:c r="E205" s="46"/>
      <x:c r="F205" s="46" t="str">
        <x:v>San José Clean Energy · Qualifying Products List</x:v>
      </x:c>
      <x:c r="G205" s="46" t="str">
        <x:v>2027 SE Long Range RWD → PDF p. 16</x:v>
      </x:c>
      <x:c r="H205" s="110" t="n">
        <x:v>46332</x:v>
      </x:c>
      <x:c r="I205" s="46" t="str">
        <x:v>https://sanjosecleanenergy.org/wp-content/uploads/2026/10/SJCE-EV-Instant-Rebates_QPL_v261007.pdf#page=16</x:v>
      </x:c>
      <x:c r="J205" s="46" t="str">
        <x:v>Capitol Hyundai (p. 1), Stevens Creek Hyundai (p. 2). Dealer roster P52. MyFirstEV basis P44. California dealer lists MyFirstEV on the 2027 SE RWD.</x:v>
      </x:c>
    </x:row>
    <x:row r="206" ht="63" customHeight="1">
      <x:c r="A206" s="38" t="str">
        <x:v>P62</x:v>
      </x:c>
      <x:c r="B206" s="46" t="str">
        <x:v>Toyota bZ</x:v>
      </x:c>
      <x:c r="C206" s="46" t="str">
        <x:v>SJCE vehicle/dealer screen</x:v>
      </x:c>
      <x:c r="D206" s="46" t="str">
        <x:v>Pending</x:v>
      </x:c>
      <x:c r="E206" s="46"/>
      <x:c r="F206" s="46" t="str">
        <x:v>San José Clean Energy · Qualifying Products List</x:v>
      </x:c>
      <x:c r="G206" s="46" t="str">
        <x:v>2027 XLE FWD Plus → PDF p. 36 (2026 bZ entries; 2027 bZ absent)</x:v>
      </x:c>
      <x:c r="H206" s="110" t="n">
        <x:v>46332</x:v>
      </x:c>
      <x:c r="I206" s="46" t="str">
        <x:v>https://sanjosecleanenergy.org/wp-content/uploads/2026/10/SJCE-EV-Instant-Rebates_QPL_v261007.pdf#page=36</x:v>
      </x:c>
      <x:c r="J206" s="46" t="str">
        <x:v>Stevens Creek Toyota (p. 2). Dealer roster P52. MyFirstEV basis P45/P46. SJCE list shows 2026 bZ but no 2027 bZ. Toyota's current exact-model MyFirstEV is unconfirmed.</x:v>
      </x:c>
    </x:row>
    <x:row r="207" ht="63" customHeight="1">
      <x:c r="A207" s="38" t="str">
        <x:v>P63</x:v>
      </x:c>
      <x:c r="B207" s="46" t="str">
        <x:v>Subaru Solterra</x:v>
      </x:c>
      <x:c r="C207" s="46" t="str">
        <x:v>SJCE vehicle/dealer screen</x:v>
      </x:c>
      <x:c r="D207" s="46" t="str">
        <x:v>Yes</x:v>
      </x:c>
      <x:c r="E207" s="46"/>
      <x:c r="F207" s="46" t="str">
        <x:v>San José Clean Energy · Qualifying Products List</x:v>
      </x:c>
      <x:c r="G207" s="46" t="str">
        <x:v>2026 Premium AWD → PDF p. 31</x:v>
      </x:c>
      <x:c r="H207" s="110" t="n">
        <x:v>46332</x:v>
      </x:c>
      <x:c r="I207" s="46" t="str">
        <x:v>https://sanjosecleanenergy.org/wp-content/uploads/2026/10/SJCE-EV-Instant-Rebates_QPL_v261007.pdf#page=31</x:v>
      </x:c>
      <x:c r="J207" s="46" t="str">
        <x:v>Capitol Subaru (p. 1). Dealer roster P52. MyFirstEV basis P41. Subaru lists 2026+ Solterra.</x:v>
      </x:c>
    </x:row>
    <x:row r="208" ht="63" customHeight="1">
      <x:c r="A208" s="38" t="str">
        <x:v>P64</x:v>
      </x:c>
      <x:c r="B208" s="46" t="str">
        <x:v>Volvo EX30</x:v>
      </x:c>
      <x:c r="C208" s="46" t="str">
        <x:v>SJCE vehicle/dealer screen</x:v>
      </x:c>
      <x:c r="D208" s="46" t="str">
        <x:v>Pending</x:v>
      </x:c>
      <x:c r="E208" s="46"/>
      <x:c r="F208" s="46" t="str">
        <x:v>San José Clean Energy · Qualifying Products List</x:v>
      </x:c>
      <x:c r="G208" s="46" t="str">
        <x:v>2026 Plus Single Motor RWD → PDF p. 39</x:v>
      </x:c>
      <x:c r="H208" s="110" t="n">
        <x:v>46332</x:v>
      </x:c>
      <x:c r="I208" s="46" t="str">
        <x:v>https://sanjosecleanenergy.org/wp-content/uploads/2026/10/SJCE-EV-Instant-Rebates_QPL_v261007.pdf#page=39</x:v>
      </x:c>
      <x:c r="J208" s="46" t="str">
        <x:v>No Volvo franchise identified on dealer roster. Dealer roster P52. MyFirstEV basis P47. 2026 EX30 listed by SJCE. Participating dealer for new Volvo unconfirmed.</x:v>
      </x:c>
    </x:row>
    <x:row r="209" ht="63" customHeight="1">
      <x:c r="A209" s="38" t="str">
        <x:v>P65</x:v>
      </x:c>
      <x:c r="B209" s="46" t="str">
        <x:v>Kia EV6</x:v>
      </x:c>
      <x:c r="C209" s="46" t="str">
        <x:v>SJCE vehicle/dealer screen</x:v>
      </x:c>
      <x:c r="D209" s="46" t="str">
        <x:v>Yes</x:v>
      </x:c>
      <x:c r="E209" s="46"/>
      <x:c r="F209" s="46" t="str">
        <x:v>San José Clean Energy · Qualifying Products List</x:v>
      </x:c>
      <x:c r="G209" s="46" t="str">
        <x:v>2026 Light Long Range RWD → PDF p. 17</x:v>
      </x:c>
      <x:c r="H209" s="110" t="n">
        <x:v>46332</x:v>
      </x:c>
      <x:c r="I209" s="46" t="str">
        <x:v>https://sanjosecleanenergy.org/wp-content/uploads/2026/10/SJCE-EV-Instant-Rebates_QPL_v261007.pdf#page=17</x:v>
      </x:c>
      <x:c r="J209" s="46" t="str">
        <x:v>Capitol Kia (p. 1), Stevens Creek Kia (p. 2). Dealer roster P52. MyFirstEV basis P48. 2026 EV6 offer verified. Separate Kia Cash held out pending stack.</x:v>
      </x:c>
    </x:row>
    <x:row r="210" ht="63" customHeight="1">
      <x:c r="A210" s="38" t="str">
        <x:v>P66</x:v>
      </x:c>
      <x:c r="B210" s="46" t="str">
        <x:v>Tesla Model 3</x:v>
      </x:c>
      <x:c r="C210" s="46" t="str">
        <x:v>SJCE vehicle/dealer screen</x:v>
      </x:c>
      <x:c r="D210" s="46" t="str">
        <x:v>Yes</x:v>
      </x:c>
      <x:c r="E210" s="46"/>
      <x:c r="F210" s="46" t="str">
        <x:v>San José Clean Energy · Qualifying Products List</x:v>
      </x:c>
      <x:c r="G210" s="46" t="str">
        <x:v>2026 Premium RWD → PDF p. 35</x:v>
      </x:c>
      <x:c r="H210" s="110" t="n">
        <x:v>46332</x:v>
      </x:c>
      <x:c r="I210" s="46" t="str">
        <x:v>https://sanjosecleanenergy.org/wp-content/uploads/2026/10/SJCE-EV-Instant-Rebates_QPL_v261007.pdf#page=35</x:v>
      </x:c>
      <x:c r="J210" s="46" t="str">
        <x:v>Tesla, multiple locations (p. 2). Dealer roster P52. MyFirstEV basis P10. CARB lists Tesla funds exhausted. City dealer roster includes Tesla.</x:v>
      </x:c>
    </x:row>
    <x:row r="211" ht="63" customHeight="1">
      <x:c r="A211" s="38" t="str">
        <x:v>P67</x:v>
      </x:c>
      <x:c r="B211" s="46" t="str">
        <x:v>MINI Countryman Electric</x:v>
      </x:c>
      <x:c r="C211" s="46" t="str">
        <x:v>SJCE vehicle/dealer screen</x:v>
      </x:c>
      <x:c r="D211" s="46" t="str">
        <x:v>Pending</x:v>
      </x:c>
      <x:c r="E211" s="46"/>
      <x:c r="F211" s="46" t="str">
        <x:v>San José Clean Energy · Qualifying Products List</x:v>
      </x:c>
      <x:c r="G211" s="46" t="str">
        <x:v>2027 SE ALL4 Signature Plus → PDF p. 22</x:v>
      </x:c>
      <x:c r="H211" s="110" t="n">
        <x:v>46332</x:v>
      </x:c>
      <x:c r="I211" s="46" t="str">
        <x:v>https://sanjosecleanenergy.org/wp-content/uploads/2026/10/SJCE-EV-Instant-Rebates_QPL_v261007.pdf#page=22</x:v>
      </x:c>
      <x:c r="J211" s="46" t="str">
        <x:v>Stevens Creek BMW (p. 2); MINI eligibility unconfirmed. Dealer roster P52. MyFirstEV basis P10. MINI is absent from the CARB list. Verify BMW dealer can redeem for a new MINI.</x:v>
      </x:c>
    </x:row>
    <x:row r="212" ht="63" customHeight="1">
      <x:c r="A212" s="38" t="str">
        <x:v>P68</x:v>
      </x:c>
      <x:c r="B212" s="46" t="str">
        <x:v>Volkswagen ID.4</x:v>
      </x:c>
      <x:c r="C212" s="46" t="str">
        <x:v>SJCE vehicle/dealer screen</x:v>
      </x:c>
      <x:c r="D212" s="46" t="str">
        <x:v>Yes</x:v>
      </x:c>
      <x:c r="E212" s="46"/>
      <x:c r="F212" s="46" t="str">
        <x:v>San José Clean Energy · Qualifying Products List</x:v>
      </x:c>
      <x:c r="G212" s="46" t="str">
        <x:v>2026 Pro RWD → PDF p. 38</x:v>
      </x:c>
      <x:c r="H212" s="110" t="n">
        <x:v>46332</x:v>
      </x:c>
      <x:c r="I212" s="46" t="str">
        <x:v>https://sanjosecleanenergy.org/wp-content/uploads/2026/10/SJCE-EV-Instant-Rebates_QPL_v261007.pdf#page=38</x:v>
      </x:c>
      <x:c r="J212" s="46" t="str">
        <x:v>Capitol Volkswagen (p. 1). Dealer roster P52. MyFirstEV basis P10. Volkswagen is absent from the CARB list.</x:v>
      </x:c>
    </x:row>
    <x:row r="213" ht="63" customHeight="1">
      <x:c r="A213" s="38" t="str">
        <x:v>P69</x:v>
      </x:c>
      <x:c r="B213" s="46" t="str">
        <x:v>Ford Mustang Mach-E</x:v>
      </x:c>
      <x:c r="C213" s="46" t="str">
        <x:v>SJCE vehicle/dealer screen</x:v>
      </x:c>
      <x:c r="D213" s="46" t="str">
        <x:v>Yes</x:v>
      </x:c>
      <x:c r="E213" s="46"/>
      <x:c r="F213" s="46" t="str">
        <x:v>San José Clean Energy · Qualifying Products List</x:v>
      </x:c>
      <x:c r="G213" s="46" t="str">
        <x:v>2026 Premium RWD Extended Range → PDF p. 13</x:v>
      </x:c>
      <x:c r="H213" s="110" t="n">
        <x:v>46332</x:v>
      </x:c>
      <x:c r="I213" s="46" t="str">
        <x:v>https://sanjosecleanenergy.org/wp-content/uploads/2026/10/SJCE-EV-Instant-Rebates_QPL_v261007.pdf#page=13</x:v>
      </x:c>
      <x:c r="J213" s="46" t="str">
        <x:v>Capitol Ford (p. 1), Sunnyvale Ford (p. 2). Dealer roster P52. MyFirstEV basis P49/P50. 2026 Mach-E verified. Do not combine with Retail Customer Cash.</x:v>
      </x:c>
    </x:row>
    <x:row r="214" ht="63" customHeight="1">
      <x:c r="A214" s="38" t="str">
        <x:v>P70</x:v>
      </x:c>
      <x:c r="B214" s="46" t="str">
        <x:v>Lexus RZ</x:v>
      </x:c>
      <x:c r="C214" s="46" t="str">
        <x:v>SJCE vehicle/dealer screen</x:v>
      </x:c>
      <x:c r="D214" s="46" t="str">
        <x:v>Pending</x:v>
      </x:c>
      <x:c r="E214" s="46"/>
      <x:c r="F214" s="46" t="str">
        <x:v>San José Clean Energy · Qualifying Products List</x:v>
      </x:c>
      <x:c r="G214" s="46" t="str">
        <x:v>2026 350e FWD (18 in) → PDF p. 18</x:v>
      </x:c>
      <x:c r="H214" s="110" t="n">
        <x:v>46332</x:v>
      </x:c>
      <x:c r="I214" s="46" t="str">
        <x:v>https://sanjosecleanenergy.org/wp-content/uploads/2026/10/SJCE-EV-Instant-Rebates_QPL_v261007.pdf#page=18</x:v>
      </x:c>
      <x:c r="J214" s="46" t="str">
        <x:v>No Lexus franchise identified on dealer roster. Dealer roster P52. MyFirstEV basis P51. New RZ on city list. Lexus dealer for city rebate unconfirmed.</x:v>
      </x:c>
    </x:row>
    <x:row r="215" ht="63" customHeight="1">
      <x:c r="A215" s="38" t="str">
        <x:v>P71</x:v>
      </x:c>
      <x:c r="B215" s="46" t="str">
        <x:v>Mercedes-Benz Electric CLA</x:v>
      </x:c>
      <x:c r="C215" s="46" t="str">
        <x:v>SJCE vehicle/dealer screen</x:v>
      </x:c>
      <x:c r="D215" s="46" t="str">
        <x:v>Pending</x:v>
      </x:c>
      <x:c r="E215" s="46"/>
      <x:c r="F215" s="46" t="str">
        <x:v>San José Clean Energy · Qualifying Products List</x:v>
      </x:c>
      <x:c r="G215" s="46" t="str">
        <x:v>2027 250+ RWD → PDF p. 22</x:v>
      </x:c>
      <x:c r="H215" s="110" t="n">
        <x:v>46332</x:v>
      </x:c>
      <x:c r="I215" s="46" t="str">
        <x:v>https://sanjosecleanenergy.org/wp-content/uploads/2026/10/SJCE-EV-Instant-Rebates_QPL_v261007.pdf#page=22</x:v>
      </x:c>
      <x:c r="J215" s="46" t="str">
        <x:v>No Mercedes-Benz franchise identified on dealer roster. Dealer roster P52. MyFirstEV basis P10. Mercedes-Benz absent from CARB list. City dealer unconfirmed, cash price near cap.</x:v>
      </x:c>
    </x:row>
    <x:row r="216" ht="66" customHeight="1">
      <x:c r="A216" s="38" t="str">
        <x:v>B01</x:v>
      </x:c>
      <x:c r="B216" s="46" t="str">
        <x:v>Fuel</x:v>
      </x:c>
      <x:c r="C216" s="46" t="str">
        <x:v>San José regular gasoline</x:v>
      </x:c>
      <x:c r="D216" s="137" t="n">
        <x:v>5.7544</x:v>
      </x:c>
      <x:c r="E216" s="46" t="str">
        <x:v>USD/gal</x:v>
      </x:c>
      <x:c r="F216" s="46" t="str">
        <x:v>AAA · California Gas Prices</x:v>
      </x:c>
      <x:c r="G216" s="46" t="str">
        <x:v>Price as of 11/6/26 → San Jose → Current Avg. → Regular</x:v>
      </x:c>
      <x:c r="H216" s="110" t="n">
        <x:v>46332</x:v>
      </x:c>
      <x:c r="I216" s="46" t="str">
        <x:v>https://gasprices.aaa.com/?state=CA</x:v>
      </x:c>
      <x:c r="J216" s="46" t="str">
        <x:v>Live AAA HTML directly checked Nov. 6. The national/state banners are different figures. Dynamic page will update.</x:v>
      </x:c>
    </x:row>
    <x:row r="217" ht="66" customHeight="1">
      <x:c r="A217" s="38" t="str">
        <x:v>B02</x:v>
      </x:c>
      <x:c r="B217" s="46" t="str">
        <x:v>Corolla</x:v>
      </x:c>
      <x:c r="C217" s="46" t="str">
        <x:v>EPA combined fuel economy</x:v>
      </x:c>
      <x:c r="D217" s="46" t="n">
        <x:v>30</x:v>
      </x:c>
      <x:c r="E217" s="46" t="str">
        <x:v>mi/gal</x:v>
      </x:c>
      <x:c r="F217" s="46" t="str">
        <x:v>CARB DriveClean · 2009 Toyota Corolla</x:v>
      </x:c>
      <x:c r="G217" s="46" t="str">
        <x:v>Automatic 4-spd, 1.8L → MPG</x:v>
      </x:c>
      <x:c r="H217" s="110" t="n">
        <x:v>46332</x:v>
      </x:c>
      <x:c r="I217" s="46" t="str">
        <x:v>https://driveclean.ca.gov/node/1196585</x:v>
      </x:c>
      <x:c r="J217" s="46" t="str">
        <x:v>Assumed conventional 1.8L automatic. Assignment does not identify engine or actual mileage. EPA configuration ID 25254.</x:v>
      </x:c>
    </x:row>
    <x:row r="218" ht="66" customHeight="1">
      <x:c r="A218" s="38" t="str">
        <x:v>B03</x:v>
      </x:c>
      <x:c r="B218" s="46" t="str">
        <x:v>Bolt</x:v>
      </x:c>
      <x:c r="C218" s="46" t="str">
        <x:v>EPA combined electricity use</x:v>
      </x:c>
      <x:c r="D218" s="46" t="n">
        <x:v>28</x:v>
      </x:c>
      <x:c r="E218" s="46" t="str">
        <x:v>kWh/100 mi</x:v>
      </x:c>
      <x:c r="F218" s="46" t="str">
        <x:v>EPA and DOE · FuelEconomy.gov</x:v>
      </x:c>
      <x:c r="G218" s="46" t="str">
        <x:v>2027 Chevrolet BOLT, vehicle ID 50372 → EPA Fuel Economy</x:v>
      </x:c>
      <x:c r="H218" s="110" t="n">
        <x:v>46332</x:v>
      </x:c>
      <x:c r="I218" s="46" t="str">
        <x:v>https://www.fueleconomy.gov/feg/Find.do?action=sbs&amp;id=50372</x:v>
      </x:c>
      <x:c r="J218" s="46" t="str">
        <x:v>Combined test result. Match to the 262-mile Bolt. Includes charging losses (B04).</x:v>
      </x:c>
    </x:row>
    <x:row r="219" ht="66" customHeight="1">
      <x:c r="A219" s="38" t="str">
        <x:v>B04</x:v>
      </x:c>
      <x:c r="B219" s="46" t="str">
        <x:v>Bolt</x:v>
      </x:c>
      <x:c r="C219" s="46" t="str">
        <x:v>Charging losses included</x:v>
      </x:c>
      <x:c r="D219" s="46"/>
      <x:c r="E219" s="46"/>
      <x:c r="F219" s="46" t="str">
        <x:v>EPA and DOE · Download Fuel Economy Data</x:v>
      </x:c>
      <x:c r="G219" s="46" t="str">
        <x:v>Electric vehicles → MPG/MPGe and kWh/100 mi</x:v>
      </x:c>
      <x:c r="H219" s="110" t="n">
        <x:v>46332</x:v>
      </x:c>
      <x:c r="I219" s="46" t="str">
        <x:v>https://www.fueleconomy.gov/feg/download.shtml</x:v>
      </x:c>
      <x:c r="J219" s="46" t="str">
        <x:v>Charging losses already in the kWh/100-mile metric. Use billed energy here, separate from Part 1 range divided by pack capacity.</x:v>
      </x:c>
    </x:row>
    <x:row r="220" ht="66" customHeight="1">
      <x:c r="A220" s="38" t="str">
        <x:v>B05</x:v>
      </x:c>
      <x:c r="B220" s="46" t="str">
        <x:v>Mileage</x:v>
      </x:c>
      <x:c r="C220" s="46" t="str">
        <x:v>Short-wheelbase light-duty average</x:v>
      </x:c>
      <x:c r="D220" s="46" t="n">
        <x:v>10812</x:v>
      </x:c>
      <x:c r="E220" s="46" t="str">
        <x:v>mi/yr</x:v>
      </x:c>
      <x:c r="F220" s="46" t="str">
        <x:v>FHWA · Highway Statistics 2024</x:v>
      </x:c>
      <x:c r="G220" s="46" t="str">
        <x:v>Table VM-1 → 2024 → Average miles traveled per vehicle → Light Duty Vehicles Short WB</x:v>
      </x:c>
      <x:c r="H220" s="110" t="n">
        <x:v>46332</x:v>
      </x:c>
      <x:c r="I220" s="46" t="str">
        <x:v>https://www.fhwa.dot.gov/policyinformation/statistics/2024/vm1.cfm</x:v>
      </x:c>
      <x:c r="J220" s="46" t="str">
        <x:v>U.S. benchmark. Household's annual mileage is unknown. Editable model input.</x:v>
      </x:c>
    </x:row>
    <x:row r="221" ht="66" customHeight="1">
      <x:c r="A221" s="38" t="str">
        <x:v>B06</x:v>
      </x:c>
      <x:c r="B221" s="46" t="str">
        <x:v>Maintenance</x:v>
      </x:c>
      <x:c r="C221" s="46" t="str">
        <x:v>Conventional gasoline scheduled maintenance</x:v>
      </x:c>
      <x:c r="D221" s="137" t="n">
        <x:v>0.101</x:v>
      </x:c>
      <x:c r="E221" s="46" t="str">
        <x:v>USD/mi</x:v>
      </x:c>
      <x:c r="F221" s="46" t="str">
        <x:v>DOE · FOTW 1190, Argonne 2021 study</x:v>
      </x:c>
      <x:c r="G221" s="46" t="str">
        <x:v>Opening paragraph and powertrain chart → ICEV</x:v>
      </x:c>
      <x:c r="H221" s="110" t="n">
        <x:v>46332</x:v>
      </x:c>
      <x:c r="I221" s="46" t="str">
        <x:v>https://www.energy.gov/cmei/vehicles/articles/fotw-1190-june-14-2021-battery-electric-vehicles-have-lower-scheduled</x:v>
      </x:c>
      <x:c r="J221" s="46" t="str">
        <x:v>10.1¢/mi in the published study, used as a typical benchmark. Major unscheduled repairs and vehicle-specific history are outside the base case.</x:v>
      </x:c>
    </x:row>
    <x:row r="222" ht="66" customHeight="1">
      <x:c r="A222" s="38" t="str">
        <x:v>B07</x:v>
      </x:c>
      <x:c r="B222" s="46" t="str">
        <x:v>Maintenance</x:v>
      </x:c>
      <x:c r="C222" s="46" t="str">
        <x:v>BEV scheduled maintenance</x:v>
      </x:c>
      <x:c r="D222" s="137" t="n">
        <x:v>0.061</x:v>
      </x:c>
      <x:c r="E222" s="46" t="str">
        <x:v>USD/mi</x:v>
      </x:c>
      <x:c r="F222" s="46" t="str">
        <x:v>DOE · FOTW 1190, Argonne 2021 study</x:v>
      </x:c>
      <x:c r="G222" s="46" t="str">
        <x:v>Opening paragraph and powertrain chart → BEV</x:v>
      </x:c>
      <x:c r="H222" s="110" t="n">
        <x:v>46332</x:v>
      </x:c>
      <x:c r="I222" s="46" t="str">
        <x:v>https://www.energy.gov/cmei/vehicles/articles/fotw-1190-june-14-2021-battery-electric-vehicles-have-lower-scheduled</x:v>
      </x:c>
      <x:c r="J222" s="46" t="str">
        <x:v>6.1¢/mi as published. BEVs avoid engine-oil and several engine-related service items. Values carried forward at their published levels.</x:v>
      </x:c>
    </x:row>
    <x:row r="223" ht="66" customHeight="1">
      <x:c r="A223" s="38" t="str">
        <x:v>B08</x:v>
      </x:c>
      <x:c r="B223" s="46" t="str">
        <x:v>Power</x:v>
      </x:c>
      <x:c r="C223" s="46" t="str">
        <x:v>EV2-A off-peak bundled total, winter</x:v>
      </x:c>
      <x:c r="D223" s="137" t="n">
        <x:v>0.22558</x:v>
      </x:c>
      <x:c r="E223" s="46" t="str">
        <x:v>USD/kWh</x:v>
      </x:c>
      <x:c r="F223" s="46" t="str">
        <x:v>PG&amp;E · Electric Schedule EV2</x:v>
      </x:c>
      <x:c r="G223" s="46" t="str">
        <x:v>Sheet 2 (p. 2) → Total Bundled Rates → Winter, Off-Peak</x:v>
      </x:c>
      <x:c r="H223" s="110" t="n">
        <x:v>46332</x:v>
      </x:c>
      <x:c r="I223" s="46" t="str">
        <x:v>https://www.pge.com/tariffs/assets/pdf/tariffbook/ELEC_SCHEDS_EV2%20%28Sch%29.pdf#page=2</x:v>
      </x:c>
      <x:c r="J223" s="46" t="str">
        <x:v>Effective June 1, 2026. Delivery subtotal removes the PG&amp;E generation and bundled PCIA portions.</x:v>
      </x:c>
    </x:row>
    <x:row r="224" ht="66" customHeight="1">
      <x:c r="A224" s="38" t="str">
        <x:v>B09</x:v>
      </x:c>
      <x:c r="B224" s="46" t="str">
        <x:v>Power</x:v>
      </x:c>
      <x:c r="C224" s="46" t="str">
        <x:v>EV2-A off-peak bundled total, summer</x:v>
      </x:c>
      <x:c r="D224" s="137" t="n">
        <x:v>0.22558</x:v>
      </x:c>
      <x:c r="E224" s="46" t="str">
        <x:v>USD/kWh</x:v>
      </x:c>
      <x:c r="F224" s="46" t="str">
        <x:v>PG&amp;E · Electric Schedule EV2</x:v>
      </x:c>
      <x:c r="G224" s="46" t="str">
        <x:v>Sheet 2 (p. 2) → Total Bundled Rates → Summer, Off-Peak</x:v>
      </x:c>
      <x:c r="H224" s="110" t="n">
        <x:v>46332</x:v>
      </x:c>
      <x:c r="I224" s="46" t="str">
        <x:v>https://www.pge.com/tariffs/assets/pdf/tariffbook/ELEC_SCHEDS_EV2%20%28Sch%29.pdf#page=2</x:v>
      </x:c>
      <x:c r="J224" s="46" t="str">
        <x:v>Effective June 1, 2026. Off-peak is midnight to 3 p.m. per Sheet 4.</x:v>
      </x:c>
    </x:row>
    <x:row r="225" ht="66" customHeight="1">
      <x:c r="A225" s="38" t="str">
        <x:v>B10</x:v>
      </x:c>
      <x:c r="B225" s="46" t="str">
        <x:v>Power</x:v>
      </x:c>
      <x:c r="C225" s="46" t="str">
        <x:v>Bundled generation, winter off-peak</x:v>
      </x:c>
      <x:c r="D225" s="137" t="n">
        <x:v>0.09546</x:v>
      </x:c>
      <x:c r="E225" s="46" t="str">
        <x:v>USD/kWh</x:v>
      </x:c>
      <x:c r="F225" s="46" t="str">
        <x:v>PG&amp;E · Electric Schedule EV2</x:v>
      </x:c>
      <x:c r="G225" s="46" t="str">
        <x:v>Sheet 3 (p. 3) → Unbundling of Total Rates → Generation → Winter, Off-Peak</x:v>
      </x:c>
      <x:c r="H225" s="110" t="n">
        <x:v>46332</x:v>
      </x:c>
      <x:c r="I225" s="46" t="str">
        <x:v>https://www.pge.com/tariffs/assets/pdf/tariffbook/ELEC_SCHEDS_EV2%20%28Sch%29.pdf#page=3</x:v>
      </x:c>
      <x:c r="J225" s="46" t="str">
        <x:v>Remove this component before adding SJCE generation.</x:v>
      </x:c>
    </x:row>
    <x:row r="226" ht="66" customHeight="1">
      <x:c r="A226" s="38" t="str">
        <x:v>B11</x:v>
      </x:c>
      <x:c r="B226" s="46" t="str">
        <x:v>Power</x:v>
      </x:c>
      <x:c r="C226" s="46" t="str">
        <x:v>Bundled generation, summer off-peak</x:v>
      </x:c>
      <x:c r="D226" s="137" t="n">
        <x:v>0.10245</x:v>
      </x:c>
      <x:c r="E226" s="46" t="str">
        <x:v>USD/kWh</x:v>
      </x:c>
      <x:c r="F226" s="46" t="str">
        <x:v>PG&amp;E · Electric Schedule EV2</x:v>
      </x:c>
      <x:c r="G226" s="46" t="str">
        <x:v>Sheet 3 (p. 3) → Unbundling of Total Rates → Generation → Summer, Off-Peak</x:v>
      </x:c>
      <x:c r="H226" s="110" t="n">
        <x:v>46332</x:v>
      </x:c>
      <x:c r="I226" s="46" t="str">
        <x:v>https://www.pge.com/tariffs/assets/pdf/tariffbook/ELEC_SCHEDS_EV2%20%28Sch%29.pdf#page=3</x:v>
      </x:c>
      <x:c r="J226" s="46" t="str">
        <x:v>Remove this component before adding SJCE generation.</x:v>
      </x:c>
    </x:row>
    <x:row r="227" ht="66" customHeight="1">
      <x:c r="A227" s="38" t="str">
        <x:v>B12</x:v>
      </x:c>
      <x:c r="B227" s="46" t="str">
        <x:v>Power</x:v>
      </x:c>
      <x:c r="C227" s="46" t="str">
        <x:v>Bundled PCIA</x:v>
      </x:c>
      <x:c r="D227" s="137" t="n">
        <x:v>-0.01011</x:v>
      </x:c>
      <x:c r="E227" s="46" t="str">
        <x:v>USD/kWh</x:v>
      </x:c>
      <x:c r="F227" s="46" t="str">
        <x:v>PG&amp;E · Electric Schedule EV2</x:v>
      </x:c>
      <x:c r="G227" s="46" t="str">
        <x:v>Sheet 3 (p. 3) → Bundled Power Charge Indifference Adjustment</x:v>
      </x:c>
      <x:c r="H227" s="110" t="n">
        <x:v>46332</x:v>
      </x:c>
      <x:c r="I227" s="46" t="str">
        <x:v>https://www.pge.com/tariffs/assets/pdf/tariffbook/ELEC_SCHEDS_EV2%20%28Sch%29.pdf#page=3</x:v>
      </x:c>
      <x:c r="J227" s="46" t="str">
        <x:v>Subtract the negative bundled charge from the bundled total when isolating delivery. CCA uses its own vintage charge on Sheet 5.</x:v>
      </x:c>
    </x:row>
    <x:row r="228" ht="66" customHeight="1">
      <x:c r="A228" s="38" t="str">
        <x:v>B13</x:v>
      </x:c>
      <x:c r="B228" s="46" t="str">
        <x:v>Power</x:v>
      </x:c>
      <x:c r="C228" s="46" t="str">
        <x:v>GreenSource generation, winter off-peak</x:v>
      </x:c>
      <x:c r="D228" s="137" t="n">
        <x:v>0.04797</x:v>
      </x:c>
      <x:c r="E228" s="46" t="str">
        <x:v>USD/kWh</x:v>
      </x:c>
      <x:c r="F228" s="46" t="str">
        <x:v>San José Clean Energy · Residential Rates</x:v>
      </x:c>
      <x:c r="G228" s="46" t="str">
        <x:v>p. 2 → E-EV2-A → Winter → Off-Peak</x:v>
      </x:c>
      <x:c r="H228" s="110" t="n">
        <x:v>46332</x:v>
      </x:c>
      <x:c r="I228" s="46" t="str">
        <x:v>https://sanjosecleanenergy.org/wp-content/uploads/2026/02/SJCE-Residential-Rates-March-1-2026.pdf#page=2</x:v>
      </x:c>
      <x:c r="J228" s="46" t="str">
        <x:v>Effective March 1, 2026. Generation only. P38 supports the service assumption.</x:v>
      </x:c>
    </x:row>
    <x:row r="229" ht="66" customHeight="1">
      <x:c r="A229" s="38" t="str">
        <x:v>B14</x:v>
      </x:c>
      <x:c r="B229" s="46" t="str">
        <x:v>Power</x:v>
      </x:c>
      <x:c r="C229" s="46" t="str">
        <x:v>GreenSource generation, summer off-peak</x:v>
      </x:c>
      <x:c r="D229" s="137" t="n">
        <x:v>0.05496</x:v>
      </x:c>
      <x:c r="E229" s="46" t="str">
        <x:v>USD/kWh</x:v>
      </x:c>
      <x:c r="F229" s="46" t="str">
        <x:v>San José Clean Energy · Residential Rates</x:v>
      </x:c>
      <x:c r="G229" s="46" t="str">
        <x:v>p. 2 → E-EV2-A → Summer → Off-Peak</x:v>
      </x:c>
      <x:c r="H229" s="110" t="n">
        <x:v>46332</x:v>
      </x:c>
      <x:c r="I229" s="46" t="str">
        <x:v>https://sanjosecleanenergy.org/wp-content/uploads/2026/02/SJCE-Residential-Rates-March-1-2026.pdf#page=2</x:v>
      </x:c>
      <x:c r="J229" s="46" t="str">
        <x:v>Effective March 1, 2026. Generation only.</x:v>
      </x:c>
    </x:row>
    <x:row r="230" ht="66" customHeight="1">
      <x:c r="A230" s="38" t="str">
        <x:v>B15</x:v>
      </x:c>
      <x:c r="B230" s="46" t="str">
        <x:v>Power</x:v>
      </x:c>
      <x:c r="C230" s="46" t="str">
        <x:v>CCA PCIA, 2018 vintage</x:v>
      </x:c>
      <x:c r="D230" s="137" t="n">
        <x:v>0.03679</x:v>
      </x:c>
      <x:c r="E230" s="46" t="str">
        <x:v>USD/kWh</x:v>
      </x:c>
      <x:c r="F230" s="46" t="str">
        <x:v>San José Clean Energy · Residential Rates</x:v>
      </x:c>
      <x:c r="G230" s="46" t="str">
        <x:v>p. 3 → PG&amp;E Fees → Power Charge Indifference Adjustment</x:v>
      </x:c>
      <x:c r="H230" s="110" t="n">
        <x:v>46332</x:v>
      </x:c>
      <x:c r="I230" s="46" t="str">
        <x:v>https://sanjosecleanenergy.org/wp-content/uploads/2026/02/SJCE-Residential-Rates-March-1-2026.pdf#page=3</x:v>
      </x:c>
      <x:c r="J230" s="46" t="str">
        <x:v>Representative SJCE 2018 vintage. SJCE describes adjustments for 2019 and 2020 to parity. Verify actual vintage and rate on bill.</x:v>
      </x:c>
    </x:row>
    <x:row r="231" ht="66" customHeight="1">
      <x:c r="A231" s="38" t="str">
        <x:v>B16</x:v>
      </x:c>
      <x:c r="B231" s="46" t="str">
        <x:v>Power</x:v>
      </x:c>
      <x:c r="C231" s="46" t="str">
        <x:v>Franchise fee surcharge</x:v>
      </x:c>
      <x:c r="D231" s="137" t="n">
        <x:v>0.00059</x:v>
      </x:c>
      <x:c r="E231" s="46" t="str">
        <x:v>USD/kWh</x:v>
      </x:c>
      <x:c r="F231" s="46" t="str">
        <x:v>San José Clean Energy · Residential Rates</x:v>
      </x:c>
      <x:c r="G231" s="46" t="str">
        <x:v>p. 3 → PG&amp;E Fees → Franchise Fee Surcharge</x:v>
      </x:c>
      <x:c r="H231" s="110" t="n">
        <x:v>46332</x:v>
      </x:c>
      <x:c r="I231" s="46" t="str">
        <x:v>https://sanjosecleanenergy.org/wp-content/uploads/2026/02/SJCE-Residential-Rates-March-1-2026.pdf#page=3</x:v>
      </x:c>
      <x:c r="J231" s="46" t="str">
        <x:v>2018 vintage. Add to the marginal per-kWh charge.</x:v>
      </x:c>
    </x:row>
    <x:row r="232" ht="66" customHeight="1">
      <x:c r="A232" s="38" t="str">
        <x:v>B17</x:v>
      </x:c>
      <x:c r="B232" s="46" t="str">
        <x:v>Power</x:v>
      </x:c>
      <x:c r="C232" s="46" t="str">
        <x:v>Fixed-charge and schedule treatment</x:v>
      </x:c>
      <x:c r="D232" s="46"/>
      <x:c r="E232" s="46"/>
      <x:c r="F232" s="46" t="str">
        <x:v>PG&amp;E · Base Services Charge and EV2 tariff</x:v>
      </x:c>
      <x:c r="G232" s="46" t="str">
        <x:v>How the base services charge works; EV2 Sheets 4–5</x:v>
      </x:c>
      <x:c r="H232" s="110" t="n">
        <x:v>46332</x:v>
      </x:c>
      <x:c r="I232" s="46" t="str">
        <x:v>https://www.pge.com/en/account/billing-and-assistance/base-services-charge.html</x:v>
      </x:c>
      <x:c r="J232" s="46" t="str">
        <x:v>Existing shared household service. No second meter or incremental fixed charge modeled. Whole-home changes from switching plans need actual bill usage.</x:v>
      </x:c>
    </x:row>
    <x:row r="233" ht="66" customHeight="1">
      <x:c r="A233" s="38" t="str">
        <x:v>B18</x:v>
      </x:c>
      <x:c r="B233" s="46" t="str">
        <x:v>Purchase</x:v>
      </x:c>
      <x:c r="C233" s="46" t="str">
        <x:v>San José sales tax</x:v>
      </x:c>
      <x:c r="D233" s="138" t="n">
        <x:v>0.1</x:v>
      </x:c>
      <x:c r="E233" s="46" t="str">
        <x:v>fraction</x:v>
      </x:c>
      <x:c r="F233" s="46" t="str">
        <x:v>CDTFA · City and County Sales &amp; Use Tax Rates</x:v>
      </x:c>
      <x:c r="G233" s="46" t="str">
        <x:v>Effective October 1, 2026 → San Jose → 10.000%</x:v>
      </x:c>
      <x:c r="H233" s="110" t="n">
        <x:v>46332</x:v>
      </x:c>
      <x:c r="I233" s="46" t="str">
        <x:v>https://cdtfa.ca.gov/taxes-and-fees/rates.aspx</x:v>
      </x:c>
      <x:c r="J233" s="46" t="str">
        <x:v>Apply to modeled pre-rebate vehicle price and charger hardware. Dealer quote and actual registration address determine final amounts.</x:v>
      </x:c>
    </x:row>
    <x:row r="234" ht="66" customHeight="1">
      <x:c r="A234" s="38" t="str">
        <x:v>B19</x:v>
      </x:c>
      <x:c r="B234" s="46" t="str">
        <x:v>Purchase</x:v>
      </x:c>
      <x:c r="C234" s="46" t="str">
        <x:v>Tax treatment of third-party rebate</x:v>
      </x:c>
      <x:c r="D234" s="46"/>
      <x:c r="E234" s="46"/>
      <x:c r="F234" s="46" t="str">
        <x:v>CDTFA · Motor Vehicle Dealers</x:v>
      </x:c>
      <x:c r="G234" s="46" t="str">
        <x:v>Industry Topics → Third-party discount or rebate programs</x:v>
      </x:c>
      <x:c r="H234" s="110" t="n">
        <x:v>46332</x:v>
      </x:c>
      <x:c r="I234" s="46" t="str">
        <x:v>https://cdtfa.ca.gov/industry/motor-vehicle-dealers/industry-topics.htm</x:v>
      </x:c>
      <x:c r="J234" s="46" t="str">
        <x:v>Reimbursement paid to dealer is generally included in taxable selling price. Model uses Part 1 list price as selling-price proxy.</x:v>
      </x:c>
    </x:row>
    <x:row r="235" ht="66" customHeight="1">
      <x:c r="A235" s="38" t="str">
        <x:v>B20</x:v>
      </x:c>
      <x:c r="B235" s="46" t="str">
        <x:v>DMV</x:v>
      </x:c>
      <x:c r="C235" s="46" t="str">
        <x:v>Original registration</x:v>
      </x:c>
      <x:c r="D235" s="46" t="n">
        <x:v>76</x:v>
      </x:c>
      <x:c r="E235" s="46" t="str">
        <x:v>USD</x:v>
      </x:c>
      <x:c r="F235" s="46" t="str">
        <x:v>California DMV · Registration Fees</x:v>
      </x:c>
      <x:c r="G235" s="46" t="str">
        <x:v>Registration Fees → Original registration/renewal</x:v>
      </x:c>
      <x:c r="H235" s="110" t="n">
        <x:v>46332</x:v>
      </x:c>
      <x:c r="I235" s="46" t="str">
        <x:v>https://www.dmv.ca.gov/portal/vehicle-registration/registration-fees/</x:v>
      </x:c>
      <x:c r="J235" s="46" t="str">
        <x:v>Core fee for estimated Bolt upfront registration. Local/transaction charges can vary.</x:v>
      </x:c>
    </x:row>
    <x:row r="236" ht="66" customHeight="1">
      <x:c r="A236" s="38" t="str">
        <x:v>B21</x:v>
      </x:c>
      <x:c r="B236" s="46" t="str">
        <x:v>DMV</x:v>
      </x:c>
      <x:c r="C236" s="46" t="str">
        <x:v>CHP fee</x:v>
      </x:c>
      <x:c r="D236" s="46" t="n">
        <x:v>34</x:v>
      </x:c>
      <x:c r="E236" s="46" t="str">
        <x:v>USD</x:v>
      </x:c>
      <x:c r="F236" s="46" t="str">
        <x:v>California DMV · Registration Fees</x:v>
      </x:c>
      <x:c r="G236" s="46" t="str">
        <x:v>California Highway Patrol Fees → CHP</x:v>
      </x:c>
      <x:c r="H236" s="110" t="n">
        <x:v>46332</x:v>
      </x:c>
      <x:c r="I236" s="46" t="str">
        <x:v>https://www.dmv.ca.gov/portal/vehicle-registration/registration-fees/</x:v>
      </x:c>
      <x:c r="J236" s="46" t="str">
        <x:v>Core registration component.</x:v>
      </x:c>
    </x:row>
    <x:row r="237" ht="66" customHeight="1">
      <x:c r="A237" s="38" t="str">
        <x:v>B22</x:v>
      </x:c>
      <x:c r="B237" s="46" t="str">
        <x:v>DMV</x:v>
      </x:c>
      <x:c r="C237" s="46" t="str">
        <x:v>Transportation Improvement Fee</x:v>
      </x:c>
      <x:c r="D237" s="46" t="n">
        <x:v>132</x:v>
      </x:c>
      <x:c r="E237" s="46" t="str">
        <x:v>USD</x:v>
      </x:c>
      <x:c r="F237" s="46" t="str">
        <x:v>California DMV · Registration Fees</x:v>
      </x:c>
      <x:c r="G237" s="46" t="str">
        <x:v>Transportation Improvement Fee → $25,000–$34,999</x:v>
      </x:c>
      <x:c r="H237" s="110" t="n">
        <x:v>46332</x:v>
      </x:c>
      <x:c r="I237" s="46" t="str">
        <x:v>https://www.dmv.ca.gov/portal/vehicle-registration/registration-fees/</x:v>
      </x:c>
      <x:c r="J237" s="46" t="str">
        <x:v>Uses the published band for the $28,995 Bolt. Recheck if vehicle value changes bands.</x:v>
      </x:c>
    </x:row>
    <x:row r="238" ht="66" customHeight="1">
      <x:c r="A238" s="38" t="str">
        <x:v>B23</x:v>
      </x:c>
      <x:c r="B238" s="46" t="str">
        <x:v>DMV</x:v>
      </x:c>
      <x:c r="C238" s="46" t="str">
        <x:v>Vehicle License Fee percentage</x:v>
      </x:c>
      <x:c r="D238" s="138" t="n">
        <x:v>0.0065</x:v>
      </x:c>
      <x:c r="E238" s="46" t="str">
        <x:v>fraction</x:v>
      </x:c>
      <x:c r="F238" s="46" t="str">
        <x:v>California DMV · Registration Fees</x:v>
      </x:c>
      <x:c r="G238" s="46" t="str">
        <x:v>Vehicle License Fee → 0.65% of purchase price/value</x:v>
      </x:c>
      <x:c r="H238" s="110" t="n">
        <x:v>46332</x:v>
      </x:c>
      <x:c r="I238" s="46" t="str">
        <x:v>https://www.dmv.ca.gov/portal/vehicle-registration/registration-fees/</x:v>
      </x:c>
      <x:c r="J238" s="46" t="str">
        <x:v>Model rounds to nearest dollar and uses Part 1 list price as value proxy.</x:v>
      </x:c>
    </x:row>
    <x:row r="239" ht="66" customHeight="1">
      <x:c r="A239" s="38" t="str">
        <x:v>B24</x:v>
      </x:c>
      <x:c r="B239" s="46" t="str">
        <x:v>DMV</x:v>
      </x:c>
      <x:c r="C239" s="46" t="str">
        <x:v>EV Road Improvement Fee, renewals</x:v>
      </x:c>
      <x:c r="D239" s="46" t="n">
        <x:v>121</x:v>
      </x:c>
      <x:c r="E239" s="46" t="str">
        <x:v>USD/yr</x:v>
      </x:c>
      <x:c r="F239" s="46" t="str">
        <x:v>California DMV · Registration Fees</x:v>
      </x:c>
      <x:c r="G239" s="46" t="str">
        <x:v>Road Improvement Fee → $121 and initial new-ZEV exemption</x:v>
      </x:c>
      <x:c r="H239" s="110" t="n">
        <x:v>46332</x:v>
      </x:c>
      <x:c r="I239" s="46" t="str">
        <x:v>https://www.dmv.ca.gov/portal/vehicle-registration/registration-fees/</x:v>
      </x:c>
      <x:c r="J239" s="46" t="str">
        <x:v>Starts after year 1 for a new ZEV purchased from a licensed dealer. Held constant in simple payback. Other annual registration differences are excluded.</x:v>
      </x:c>
    </x:row>
    <x:row r="240" ht="66" customHeight="1">
      <x:c r="A240" s="38" t="str">
        <x:v>B25</x:v>
      </x:c>
      <x:c r="B240" s="46" t="str">
        <x:v>Charger</x:v>
      </x:c>
      <x:c r="C240" s="46" t="str">
        <x:v>Level 2 hardware benchmark</x:v>
      </x:c>
      <x:c r="D240" s="46" t="n">
        <x:v>449</x:v>
      </x:c>
      <x:c r="E240" s="46" t="str">
        <x:v>USD</x:v>
      </x:c>
      <x:c r="F240" s="46" t="str">
        <x:v>Emporia · Classic Level 2 EV Charger</x:v>
      </x:c>
      <x:c r="G240" s="46" t="str">
        <x:v>Price $449 and connector options → NACS; PG&amp;E list → Emporia Classic (B28)</x:v>
      </x:c>
      <x:c r="H240" s="110" t="n">
        <x:v>46332</x:v>
      </x:c>
      <x:c r="I240" s="46" t="str">
        <x:v>https://shop.emporiaenergy.com/products/emporia-ev-charger</x:v>
      </x:c>
      <x:c r="J240" s="46" t="str">
        <x:v>Manufacturer listing provides a benchmark, not a contractor quote. Confirm compatible NACS variant and current installed price.</x:v>
      </x:c>
    </x:row>
    <x:row r="241" ht="66" customHeight="1">
      <x:c r="A241" s="38" t="str">
        <x:v>B26</x:v>
      </x:c>
      <x:c r="B241" s="46" t="str">
        <x:v>Charger</x:v>
      </x:c>
      <x:c r="C241" s="46" t="str">
        <x:v>Standard electrical installation allowance</x:v>
      </x:c>
      <x:c r="D241" s="46" t="n">
        <x:v>800</x:v>
      </x:c>
      <x:c r="E241" s="46" t="str">
        <x:v>USD</x:v>
      </x:c>
      <x:c r="F241" s="46" t="str">
        <x:v>PG&amp;E · Electric Vehicle Fundamentals</x:v>
      </x:c>
      <x:c r="G241" s="46" t="str">
        <x:v>What does it cost to get plug-in ready? → equipment installation</x:v>
      </x:c>
      <x:c r="H241" s="110" t="n">
        <x:v>46332</x:v>
      </x:c>
      <x:c r="I241" s="46" t="str">
        <x:v>https://www.pge.com/en/clean-energy/electric-vehicles/getting-started-with-electric-vehicles/electric-vehicle-fundamentals.html</x:v>
      </x:c>
      <x:c r="J241" s="46" t="str">
        <x:v>Midpoint of published $400–$1,200 installation range, excluding equipment. Assumes an available panel and ordinary circuit run.</x:v>
      </x:c>
    </x:row>
    <x:row r="242" ht="66" customHeight="1">
      <x:c r="A242" s="38" t="str">
        <x:v>B27</x:v>
      </x:c>
      <x:c r="B242" s="46" t="str">
        <x:v>Charger</x:v>
      </x:c>
      <x:c r="C242" s="46" t="str">
        <x:v>Permit allowance</x:v>
      </x:c>
      <x:c r="D242" s="46" t="n">
        <x:v>250</x:v>
      </x:c>
      <x:c r="E242" s="46" t="str">
        <x:v>USD</x:v>
      </x:c>
      <x:c r="F242" s="46" t="str">
        <x:v>City of San José · Electric Vehicle Charging Stations</x:v>
      </x:c>
      <x:c r="G242" s="46" t="str">
        <x:v>Single-family/duplex → electrical permit required; SJPermits shows fee</x:v>
      </x:c>
      <x:c r="H242" s="110" t="n">
        <x:v>46332</x:v>
      </x:c>
      <x:c r="I242" s="46" t="str">
        <x:v>https://www.sanjoseca.gov/businesses/development-services-permit-center/start-your-project/electric-vehicle-charging-stations</x:v>
      </x:c>
      <x:c r="J242" s="46" t="str">
        <x:v>$250 is a modeling allowance, not a published flat fee. Obtain actual permit amount through installer or SJPermits.</x:v>
      </x:c>
    </x:row>
    <x:row r="243" ht="66" customHeight="1">
      <x:c r="A243" s="38" t="str">
        <x:v>B28</x:v>
      </x:c>
      <x:c r="B243" s="46" t="str">
        <x:v>Charger</x:v>
      </x:c>
      <x:c r="C243" s="46" t="str">
        <x:v>PG&amp;E Rebate Plus process</x:v>
      </x:c>
      <x:c r="D243" s="46"/>
      <x:c r="E243" s="46"/>
      <x:c r="F243" s="46" t="str">
        <x:v>PG&amp;E · Residential EV Charging Rebate</x:v>
      </x:c>
      <x:c r="G243" s="46" t="str">
        <x:v>Program requirements; Rebate Plus; Eligible EV equipment → Emporia</x:v>
      </x:c>
      <x:c r="H243" s="110" t="n">
        <x:v>46332</x:v>
      </x:c>
      <x:c r="I243" s="46" t="str">
        <x:v>https://www.pge.com/en/clean-energy/electric-vehicles/getting-started-with-electric-vehicles/residential-electric-vehicle-charging-rebate.html</x:v>
      </x:c>
      <x:c r="J243" s="46" t="str">
        <x:v>CCA customers included with PG&amp;E electric service. Register the EV, confirm income or program eligibility, get preapproved before contractor purchase and installation. PG&amp;E pays contractor. See P25/P26 for caps.</x:v>
      </x:c>
    </x:row>
    <x:row r="244" ht="66" customHeight="1">
      <x:c r="A244" s="38" t="str">
        <x:v>B29</x:v>
      </x:c>
      <x:c r="B244" s="46" t="str">
        <x:v>Charger</x:v>
      </x:c>
      <x:c r="C244" s="46" t="str">
        <x:v>PG&amp;E Standard equipment-only rebate share</x:v>
      </x:c>
      <x:c r="D244" s="138" t="n">
        <x:v>0.5</x:v>
      </x:c>
      <x:c r="E244" s="46" t="str">
        <x:v>fraction</x:v>
      </x:c>
      <x:c r="F244" s="46" t="str">
        <x:v>PG&amp;E · Residential EV Charging Rebate</x:v>
      </x:c>
      <x:c r="G244" s="46" t="str">
        <x:v>Standard Rebate option → up to 50% of equipment price</x:v>
      </x:c>
      <x:c r="H244" s="110" t="n">
        <x:v>46332</x:v>
      </x:c>
      <x:c r="I244" s="46" t="str">
        <x:v>https://www.pge.com/en/clean-energy/electric-vehicles/getting-started-with-electric-vehicles/residential-electric-vehicle-charging-rebate.html</x:v>
      </x:c>
      <x:c r="J244" s="46" t="str">
        <x:v>Separate option after installation, not combined with Rebate Plus. Used only if eligible; excluded from base.</x:v>
      </x:c>
    </x:row>
    <x:row r="245" ht="66" customHeight="1">
      <x:c r="A245" s="38" t="str">
        <x:v>B30</x:v>
      </x:c>
      <x:c r="B245" s="46" t="str">
        <x:v>Charger</x:v>
      </x:c>
      <x:c r="C245" s="46" t="str">
        <x:v>Panel allowance, base case</x:v>
      </x:c>
      <x:c r="D245" s="46" t="n">
        <x:v>0</x:v>
      </x:c>
      <x:c r="E245" s="46" t="str">
        <x:v>USD</x:v>
      </x:c>
      <x:c r="F245" s="46" t="str">
        <x:v>Model assumption informed by PG&amp;E</x:v>
      </x:c>
      <x:c r="G245" s="46" t="str">
        <x:v>Electric Vehicle Fundamentals → electrical assessment and installation</x:v>
      </x:c>
      <x:c r="H245" s="110" t="n">
        <x:v>46332</x:v>
      </x:c>
      <x:c r="I245" s="46" t="str">
        <x:v>https://www.pge.com/en/clean-energy/electric-vehicles/getting-started-with-electric-vehicles/electric-vehicle-fundamentals.html</x:v>
      </x:c>
      <x:c r="J245" s="46" t="str">
        <x:v>Assumes existing panel capacity. Replace with contractor quote if upgrade is needed. Rebate Plus higher tier requires approval and qualifying panel work.</x:v>
      </x:c>
    </x:row>
    <x:row r="246" ht="66" customHeight="1">
      <x:c r="A246" s="38" t="str">
        <x:v>B31</x:v>
      </x:c>
      <x:c r="B246" s="46" t="str">
        <x:v>Power</x:v>
      </x:c>
      <x:c r="C246" s="46" t="str">
        <x:v>FERA income screen and SJ Cares</x:v>
      </x:c>
      <x:c r="D246" s="46"/>
      <x:c r="E246" s="46"/>
      <x:c r="F246" s="46" t="str">
        <x:v>PG&amp;E · CARE/FERA application</x:v>
      </x:c>
      <x:c r="G246" s="46" t="str">
        <x:v>Income Guidelines valid through May 31, 2027 → household of 3</x:v>
      </x:c>
      <x:c r="H246" s="110" t="n">
        <x:v>46332</x:v>
      </x:c>
      <x:c r="I246" s="46" t="str">
        <x:v>https://www.pge.com/tariffs/assets/pdf/tariffbook/ELEC_FORMS_01-9077.pdf</x:v>
      </x:c>
      <x:c r="J246" s="46" t="str">
        <x:v>$60,000 is within FERA's $54,641–$68,300 band. Enrollment not established. If enrolled, use actual marginal rate including SJ Cares. https://sanjosecleanenergy.org/sj-cares/</x:v>
      </x:c>
    </x:row>
    <x:row r="247" ht="66" customHeight="1">
      <x:c r="A247" s="38" t="str">
        <x:v>B32</x:v>
      </x:c>
      <x:c r="B247" s="46" t="str">
        <x:v>Household</x:v>
      </x:c>
      <x:c r="C247" s="46" t="str">
        <x:v>Disposal and scope</x:v>
      </x:c>
      <x:c r="D247" s="46"/>
      <x:c r="E247" s="46"/>
      <x:c r="F247" s="46" t="str">
        <x:v>Problem Set 2</x:v>
      </x:c>
      <x:c r="G247" s="46" t="str">
        <x:v>Opening household scenario and Part 3</x:v>
      </x:c>
      <x:c r="H247" s="110" t="n">
        <x:v>46332</x:v>
      </x:c>
      <x:c r="I247" s="46" t="str">
        <x:v>C:/Users/elste/Documents/Eliots Second Brain/Fall 2026 MIIS classes/Renewable Energy/Problem Set 2.md</x:v>
      </x:c>
      <x:c r="J247" s="46" t="str">
        <x:v>Approximately 2009 Corolla, 200,000 miles. Base uses the assignment's $3,000 private sale (P36). Scrappage and conditional CAP are separate cases (P15–P17).</x:v>
      </x:c>
    </x:row>
    <x:row r="248" ht="66" customHeight="1">
      <x:c r="A248" s="38" t="str">
        <x:v>B33</x:v>
      </x:c>
      <x:c r="B248" s="46" t="str">
        <x:v>Model</x:v>
      </x:c>
      <x:c r="C248" s="46" t="str">
        <x:v>Annual savings and payback conventions</x:v>
      </x:c>
      <x:c r="D248" s="46"/>
      <x:c r="E248" s="46"/>
      <x:c r="F248" s="46" t="str">
        <x:v>Part 3 calculation assumptions</x:v>
      </x:c>
      <x:c r="G248" s="46" t="str">
        <x:v>Simple undiscounted payback on constant prices and mileage</x:v>
      </x:c>
      <x:c r="H248" s="110" t="n">
        <x:v>46332</x:v>
      </x:c>
      <x:c r="I248" s="46" t="str">
        <x:v>C:/Users/elste/Documents/Eliots Second Brain/Fall 2026 MIIS classes/Renewable Energy/Problem Set 2.md</x:v>
      </x:c>
      <x:c r="J248" s="46" t="str">
        <x:v>Fuel, scheduled maintenance and EV renewal RIF modeled. Excludes financing, insurance, depreciation, future replacement, unscheduled repairs and other recurring fee differences unless user enters them.</x:v>
      </x:c>
    </x:row>
    <x:row r="249" ht="66" customHeight="1">
      <x:c r="A249" s="38" t="str">
        <x:v>B34</x:v>
      </x:c>
      <x:c r="B249" s="46" t="str">
        <x:v>Charger</x:v>
      </x:c>
      <x:c r="C249" s="46" t="str">
        <x:v>Rebate Plus invoice and funding</x:v>
      </x:c>
      <x:c r="D249" s="46"/>
      <x:c r="E249" s="46"/>
      <x:c r="F249" s="46" t="str">
        <x:v>PG&amp;E · Residential EV Charging terms</x:v>
      </x:c>
      <x:c r="G249" s="46" t="str">
        <x:v>Rebate Plus Terms and Conditions and Trade Ally Terms, p. 14</x:v>
      </x:c>
      <x:c r="H249" s="110" t="n">
        <x:v>46332</x:v>
      </x:c>
      <x:c r="I249" s="46" t="str">
        <x:v>https://www.pge.com/assets/pge/docs/clean-energy/electric-vehicles/revc-terms-and-conditions.pdf</x:v>
      </x:c>
      <x:c r="J249" s="46" t="str">
        <x:v>Itemized equipment, labor and permit required. Funding first come, first served. Rebate scenario assumes the illustrated scope is approved.</x:v>
      </x:c>
    </x:row>
    <x:row r="250" ht="65" customHeight="1">
      <x:c r="A250" s="38" t="str">
        <x:v>B35</x:v>
      </x:c>
      <x:c r="B250" s="46" t="str">
        <x:v>Maintenance</x:v>
      </x:c>
      <x:c r="C250" s="46" t="str">
        <x:v>Routine items included</x:v>
      </x:c>
      <x:c r="D250" s="46"/>
      <x:c r="E250" s="46"/>
      <x:c r="F250" s="46" t="str">
        <x:v>U.S. DOE · Fact #1190 Dataset</x:v>
      </x:c>
      <x:c r="G250" s="46" t="str">
        <x:v>Scheduled LDV Maintenance Costs → rows 12–19, 23 and 30 → ICEV and BEV columns</x:v>
      </x:c>
      <x:c r="H250" s="110" t="n">
        <x:v>46332</x:v>
      </x:c>
      <x:c r="I250" s="46" t="str">
        <x:v>https://www.energy.gov/sites/default/files/2021-06/fotw_1190_web.xlsx</x:v>
      </x:c>
      <x:c r="J250" s="46" t="str">
        <x:v>Includes tires, brake components and brake fluid for both powertrains, and engine oil and oil filter for gasoline vehicles. Uses national benchmarks, not itemized Corolla receipts.</x:v>
      </x:c>
    </x:row>
    <x:row r="251" ht="75" customHeight="1">
      <x:c r="A251" s="184" t="str">
        <x:v>B36</x:v>
      </x:c>
      <x:c r="B251" s="184" t="str">
        <x:v>Charger</x:v>
      </x:c>
      <x:c r="C251" s="184" t="str">
        <x:v>Rebate Plus income limit, household of 3</x:v>
      </x:c>
      <x:c r="D251" s="186" t="n">
        <x:v>146200</x:v>
      </x:c>
      <x:c r="E251" s="184" t="str">
        <x:v>USD</x:v>
      </x:c>
      <x:c r="F251" s="184" t="str">
        <x:v>PG&amp;E · Household Income Limit Table</x:v>
      </x:c>
      <x:c r="G251" s="184" t="str">
        <x:v>Santa Clara County (ZIP 94305 lookup) → Household Size - Income 3</x:v>
      </x:c>
      <x:c r="H251" s="185" t="n">
        <x:v>46332</x:v>
      </x:c>
      <x:c r="I251" s="187" t="str">
        <x:v>https://evrebates.pge.com/node/20915</x:v>
      </x:c>
      <x:c r="J251" s="184" t="str">
        <x:v>P25 links to this table for Rebate Plus. The modeled three-person household earns $60,000, below the $146,200 threshold. Other household sizes require their own threshold.</x:v>
      </x:c>
    </x:row>
    <x:row r="252" ht="75" customHeight="1">
      <x:c r="A252" s="184" t="str">
        <x:v>P72</x:v>
      </x:c>
      <x:c r="B252" s="184" t="str">
        <x:v>Chevrolet Bolt</x:v>
      </x:c>
      <x:c r="C252" s="184" t="str">
        <x:v>Current MyFirstEV offer, exact trim</x:v>
      </x:c>
      <x:c r="D252" s="186" t="n">
        <x:v>3500</x:v>
      </x:c>
      <x:c r="E252" s="184" t="str">
        <x:v>USD</x:v>
      </x:c>
      <x:c r="F252" s="184" t="str">
        <x:v>Stevens Creek Chevrolet · 2027 Bolt LT FWD</x:v>
      </x:c>
      <x:c r="G252" s="184" t="str">
        <x:v>VIN 1G1FY6EV1VF125807 → Additional offers → California MyFirstEV Program</x:v>
      </x:c>
      <x:c r="H252" s="185" t="n">
        <x:v>46332</x:v>
      </x:c>
      <x:c r="I252" s="187" t="str">
        <x:v>https://www.stevenscreekchevy.com/new-San%2BJose-2027-Chevrolet-Bolt-LT-1G1FY6EV1VF125807</x:v>
      </x:c>
      <x:c r="J252" s="184" t="str">
        <x:v>In-stock 2027 Bolt LT, $28,995 MSRP. Use this listing for the $3,500 incentive. The worksheet uses the Part 1 list price and excludes separate VIN-specific dealer discounts. P11 confirms stacking with SJCE, and P52 lists this seller on p. 2.</x:v>
      </x:c>
    </x:row>
    <x:row r="253" ht="72" customHeight="1">
      <x:c r="A253" s="184" t="str">
        <x:v>E140</x:v>
      </x:c>
      <x:c r="B253" s="184" t="str">
        <x:v>EV-03</x:v>
      </x:c>
      <x:c r="C253" s="184" t="str">
        <x:v>0–60 mph estimate</x:v>
      </x:c>
      <x:c r="D253" s="184" t="n">
        <x:v>7.2</x:v>
      </x:c>
      <x:c r="E253" s="184" t="str">
        <x:v>s</x:v>
      </x:c>
      <x:c r="F253" s="184" t="str">
        <x:v>Automobile Catalog · 2026 Nissan LEAF S+</x:v>
      </x:c>
      <x:c r="G253" s="184" t="str">
        <x:v>Performance → ProfessCars estimate</x:v>
      </x:c>
      <x:c r="H253" s="185" t="n">
        <x:v>46332</x:v>
      </x:c>
      <x:c r="I253" s="187" t="str">
        <x:v>https://www.automobile-catalog.com/performance/2026/3497765/nissan_leaf_s_plus.html</x:v>
      </x:c>
      <x:c r="J253" s="184" t="str">
        <x:v>Exact North American S+ trim simulation. No instrumented S+ result verified.</x:v>
      </x:c>
    </x:row>
    <x:row r="254" ht="72" customHeight="1">
      <x:c r="A254" s="184" t="str">
        <x:v>E141</x:v>
      </x:c>
      <x:c r="B254" s="184" t="str">
        <x:v>EV-02</x:v>
      </x:c>
      <x:c r="C254" s="184" t="str">
        <x:v>100 miles added</x:v>
      </x:c>
      <x:c r="D254" s="184" t="n">
        <x:v>12.65</x:v>
      </x:c>
      <x:c r="E254" s="184" t="str">
        <x:v>min</x:v>
      </x:c>
      <x:c r="F254" s="184" t="str">
        <x:v>Edmunds · EV Charging Test</x:v>
      </x:c>
      <x:c r="G254" s="184" t="str">
        <x:v>2027 Chevrolet Bolt → 12 min 39 sec</x:v>
      </x:c>
      <x:c r="H254" s="185" t="n">
        <x:v>46332</x:v>
      </x:c>
      <x:c r="I254" s="187" t="str">
        <x:v>https://www.edmunds.com/car-news/electric-car-charging.html/</x:v>
      </x:c>
      <x:c r="J254" s="184" t="str">
        <x:v>Model-level test table. Trim unspecified there. Edmunds and Car and Driver use different test methods.</x:v>
      </x:c>
    </x:row>
    <x:row r="255" ht="72" customHeight="1">
      <x:c r="A255" s="184" t="str">
        <x:v>P73</x:v>
      </x:c>
      <x:c r="B255" s="184" t="str">
        <x:v>Chevrolet Equinox EV</x:v>
      </x:c>
      <x:c r="C255" s="184" t="str">
        <x:v>MyFirstEV purchase offer</x:v>
      </x:c>
      <x:c r="D255" s="184" t="n">
        <x:v>3500</x:v>
      </x:c>
      <x:c r="E255" s="184" t="str">
        <x:v>USD</x:v>
      </x:c>
      <x:c r="F255" s="184" t="str">
        <x:v>Stevens Creek Chevrolet · new 2026 Equinox EV</x:v>
      </x:c>
      <x:c r="G255" s="184" t="str">
        <x:v>VIN 3GN7DMRP9TS157475 → Additional offers and LT 1 Package</x:v>
      </x:c>
      <x:c r="H255" s="185" t="n">
        <x:v>46332</x:v>
      </x:c>
      <x:c r="I255" s="187" t="str">
        <x:v>https://www.stevenscreekchevy.com/new-San%2BJose-2026-Chevrolet-Equinox%2BEV-LT-3GN7DMRP9TS157475</x:v>
      </x:c>
      <x:c r="J255" s="184" t="str">
        <x:v>FWD, LT 1 Package, $37,190 sticker. Incentive uses standard comparison list price. Dealer discount excluded from the list-price scenario.</x:v>
      </x:c>
    </x:row>
    <x:row r="256" ht="72" customHeight="1">
      <x:c r="A256" s="184" t="str">
        <x:v>P74</x:v>
      </x:c>
      <x:c r="B256" s="184" t="str">
        <x:v>Nissan LEAF</x:v>
      </x:c>
      <x:c r="C256" s="184" t="str">
        <x:v>SJCE model and local dealer screen</x:v>
      </x:c>
      <x:c r="D256" s="184" t="n">
        <x:v>3000</x:v>
      </x:c>
      <x:c r="E256" s="184" t="str">
        <x:v>USD</x:v>
      </x:c>
      <x:c r="F256" s="184" t="str">
        <x:v>SJCE · Qualifying Products List and dealer roster</x:v>
      </x:c>
      <x:c r="G256" s="184" t="str">
        <x:v>QPL p. 24 → 2026 LEAF 75 kWh (18-inch steel wheels). P52 p. 1 → Capitol Nissan.</x:v>
      </x:c>
      <x:c r="H256" s="185" t="n">
        <x:v>46332</x:v>
      </x:c>
      <x:c r="I256" s="187" t="str">
        <x:v>https://sanjosecleanenergy.org/wp-content/uploads/2026/10/SJCE-EV-Instant-Rebates_QPL_v261007.pdf#page=24</x:v>
      </x:c>
      <x:c r="J256" s="184" t="str">
        <x:v>Capitol Nissan lists new S+ stock YR74419 (E17). Same-seller state offer still to verify.</x:v>
      </x:c>
    </x:row>
    <x:row r="257" ht="72" customHeight="1">
      <x:c r="A257" s="184" t="str">
        <x:v>P75</x:v>
      </x:c>
      <x:c r="B257" s="184" t="str">
        <x:v>Nissan LEAF</x:v>
      </x:c>
      <x:c r="C257" s="184" t="str">
        <x:v>MyFirstEV purchase offer lead</x:v>
      </x:c>
      <x:c r="D257" s="184" t="n">
        <x:v>3500</x:v>
      </x:c>
      <x:c r="E257" s="184" t="str">
        <x:v>USD</x:v>
      </x:c>
      <x:c r="F257" s="184" t="str">
        <x:v>Redwood City Nissan · 2026 LEAF S+</x:v>
      </x:c>
      <x:c r="G257" s="184" t="str">
        <x:v>VIN JN1AZ2BA5TM304386 → Available Nissan Offers</x:v>
      </x:c>
      <x:c r="H257" s="185" t="n">
        <x:v>46332</x:v>
      </x:c>
      <x:c r="I257" s="187" t="str">
        <x:v>https://www.redwoodcitynissan.com/new-Redwood%2BCity-2026-Nissan-Leaf-S%2B-JN1AZ2BA5TM304386</x:v>
      </x:c>
      <x:c r="J257" s="184" t="str">
        <x:v>Advertised on an exact-trim VIN. Confirm an offer at the SJCE dealer before stacking. CARB timing and availability vary by seller (P10).</x:v>
      </x:c>
    </x:row>
    <x:row r="258" ht="72" customHeight="1">
      <x:c r="A258" s="184" t="str">
        <x:v>E142</x:v>
      </x:c>
      <x:c r="B258" s="184" t="str">
        <x:v>Kona Electric</x:v>
      </x:c>
      <x:c r="C258" s="184" t="str">
        <x:v>2025 carryover check</x:v>
      </x:c>
      <x:c r="D258" s="184"/>
      <x:c r="E258" s="184"/>
      <x:c r="F258" s="184" t="str">
        <x:v>Edmunds · 2025 Kona Electric Limited listings</x:v>
      </x:c>
      <x:c r="G258" s="184" t="str">
        <x:v>Limited 261-mile trim → Listings</x:v>
      </x:c>
      <x:c r="H258" s="185" t="n">
        <x:v>46332</x:v>
      </x:c>
      <x:c r="I258" s="187" t="str">
        <x:v>https://www.edmunds.com/2025-hyundai-kona-electric-limited/</x:v>
      </x:c>
      <x:c r="J258" s="184" t="str">
        <x:v>Listings inspected did not verify new 261-mile Limited stock. The assignment allows new older-year stock. Candidate rows 30 and 45 remain research leads.</x:v>
      </x:c>
    </x:row>
    <x:row r="259" ht="72" customHeight="1">
      <x:c r="A259" s="184" t="str">
        <x:v>B37</x:v>
      </x:c>
      <x:c r="B259" s="184" t="str">
        <x:v>Power</x:v>
      </x:c>
      <x:c r="C259" s="184" t="str">
        <x:v>FERA volumetric discount</x:v>
      </x:c>
      <x:c r="D259" s="189" t="n">
        <x:v>0.18</x:v>
      </x:c>
      <x:c r="E259" s="184" t="str">
        <x:v>fraction</x:v>
      </x:c>
      <x:c r="F259" s="184" t="str">
        <x:v>PG&amp;E · E-FERA tariff</x:v>
      </x:c>
      <x:c r="G259" s="184" t="str">
        <x:v>Sheet 1 → Rates → CCA customers use bundled-rate basis</x:v>
      </x:c>
      <x:c r="H259" s="185" t="n">
        <x:v>46332</x:v>
      </x:c>
      <x:c r="I259" s="187" t="str">
        <x:v>https://www.pge.com/tariffs/assets/pdf/adviceletter/ELEC_7846-E.pdf</x:v>
      </x:c>
      <x:c r="J259" s="184" t="str">
        <x:v>Illustrative variable-rate discount calculated on bundled EV2-A. Household income band in B31. Enrollment and bill required.</x:v>
      </x:c>
    </x:row>
    <x:row r="260" ht="72" customHeight="1">
      <x:c r="A260" s="184" t="str">
        <x:v>B38</x:v>
      </x:c>
      <x:c r="B260" s="184" t="str">
        <x:v>Power</x:v>
      </x:c>
      <x:c r="C260" s="184" t="str">
        <x:v>SJ Cares generation discount</x:v>
      </x:c>
      <x:c r="D260" s="189" t="n">
        <x:v>0.1</x:v>
      </x:c>
      <x:c r="E260" s="184" t="str">
        <x:v>fraction</x:v>
      </x:c>
      <x:c r="F260" s="184" t="str">
        <x:v>San José Clean Energy · SJ Cares</x:v>
      </x:c>
      <x:c r="G260" s="184" t="str">
        <x:v>CARE/FERA enrollment → 10% generation discount</x:v>
      </x:c>
      <x:c r="H260" s="185" t="n">
        <x:v>46332</x:v>
      </x:c>
      <x:c r="I260" s="187" t="str">
        <x:v>https://sanjosecleanenergy.org/sj-cares/</x:v>
      </x:c>
      <x:c r="J260" s="184" t="str">
        <x:v>Applies to GreenSource generation only. Scenario excludes fixed-charge effects and any managed-charging credits.</x:v>
      </x:c>
    </x:row>
    <x:row r="261" ht="72" customHeight="1">
      <x:c r="A261" s="184" t="str">
        <x:v>P76</x:v>
      </x:c>
      <x:c r="B261" s="184" t="str">
        <x:v>Bolt listing</x:v>
      </x:c>
      <x:c r="C261" s="184" t="str">
        <x:v>Advertised VIN MSRP</x:v>
      </x:c>
      <x:c r="D261" s="184" t="n">
        <x:v>28995</x:v>
      </x:c>
      <x:c r="E261" s="184" t="str">
        <x:v>USD</x:v>
      </x:c>
      <x:c r="F261" s="184" t="str">
        <x:v>Stevens Creek Chevrolet</x:v>
      </x:c>
      <x:c r="G261" s="184" t="str">
        <x:v>VIN 1G1FY6EV1VF125807 → pricing breakdown</x:v>
      </x:c>
      <x:c r="H261" s="185" t="n">
        <x:v>46332</x:v>
      </x:c>
      <x:c r="I261" s="187" t="str">
        <x:v>https://www.stevenscreekchevy.com/new-San%2BJose-2027-Chevrolet-Bolt-LT-1G1FY6EV1VF125807</x:v>
      </x:c>
      <x:c r="J261" s="184" t="str">
        <x:v>P72 lists MyFirstEV separately. Advertised discount case excludes dealer fees.</x:v>
      </x:c>
    </x:row>
    <x:row r="262" ht="72" customHeight="1">
      <x:c r="A262" s="184" t="str">
        <x:v>P76a</x:v>
      </x:c>
      <x:c r="B262" s="184" t="str">
        <x:v>Bolt listing</x:v>
      </x:c>
      <x:c r="C262" s="184" t="str">
        <x:v>Advertised dealer discount</x:v>
      </x:c>
      <x:c r="D262" s="184" t="n">
        <x:v>1250</x:v>
      </x:c>
      <x:c r="E262" s="184" t="str">
        <x:v>USD</x:v>
      </x:c>
      <x:c r="F262" s="184" t="str">
        <x:v>Stevens Creek Chevrolet</x:v>
      </x:c>
      <x:c r="G262" s="184" t="str">
        <x:v>VIN 1G1FY6EV1VF125807 → dealer discount</x:v>
      </x:c>
      <x:c r="H262" s="185" t="n">
        <x:v>46332</x:v>
      </x:c>
      <x:c r="I262" s="187" t="str">
        <x:v>https://www.stevenscreekchevy.com/new-San%2BJose-2027-Chevrolet-Bolt-LT-1G1FY6EV1VF125807</x:v>
      </x:c>
      <x:c r="J262" s="184" t="str">
        <x:v>Advertised pre-fee price $27,745. Verify actual dealer terms and stacking.</x:v>
      </x:c>
    </x:row>
    <x:row r="263" ht="72" customHeight="1">
      <x:c r="A263" s="184" t="str">
        <x:v>P77</x:v>
      </x:c>
      <x:c r="B263" s="184" t="str">
        <x:v>Equinox listing</x:v>
      </x:c>
      <x:c r="C263" s="184" t="str">
        <x:v>Advertised VIN MSRP</x:v>
      </x:c>
      <x:c r="D263" s="184" t="n">
        <x:v>37190</x:v>
      </x:c>
      <x:c r="E263" s="184" t="str">
        <x:v>USD</x:v>
      </x:c>
      <x:c r="F263" s="184" t="str">
        <x:v>Stevens Creek Chevrolet</x:v>
      </x:c>
      <x:c r="G263" s="184" t="str">
        <x:v>VIN 3GN7DMRP9TS157475 → pricing breakdown</x:v>
      </x:c>
      <x:c r="H263" s="185" t="n">
        <x:v>46332</x:v>
      </x:c>
      <x:c r="I263" s="187" t="str">
        <x:v>https://www.stevenscreekchevy.com/new-San%2BJose-2026-Chevrolet-Equinox%2BEV-LT-3GN7DMRP9TS157475</x:v>
      </x:c>
      <x:c r="J263" s="184" t="str">
        <x:v>The VIN MSRP includes options. List-price comparison uses the base trim.</x:v>
      </x:c>
    </x:row>
    <x:row r="264" ht="72" customHeight="1">
      <x:c r="A264" s="184" t="str">
        <x:v>P77a</x:v>
      </x:c>
      <x:c r="B264" s="184" t="str">
        <x:v>Equinox listing</x:v>
      </x:c>
      <x:c r="C264" s="184" t="str">
        <x:v>Advertised dealer discount</x:v>
      </x:c>
      <x:c r="D264" s="184" t="n">
        <x:v>2004</x:v>
      </x:c>
      <x:c r="E264" s="184" t="str">
        <x:v>USD</x:v>
      </x:c>
      <x:c r="F264" s="184" t="str">
        <x:v>Stevens Creek Chevrolet</x:v>
      </x:c>
      <x:c r="G264" s="184" t="str">
        <x:v>VIN 3GN7DMRP9TS157475 → dealer discount</x:v>
      </x:c>
      <x:c r="H264" s="185" t="n">
        <x:v>46332</x:v>
      </x:c>
      <x:c r="I264" s="187" t="str">
        <x:v>https://www.stevenscreekchevy.com/new-San%2BJose-2026-Chevrolet-Equinox%2BEV-LT-3GN7DMRP9TS157475</x:v>
      </x:c>
      <x:c r="J264" s="184" t="str">
        <x:v>Advertised pre-fee price $35,186. Verify actual dealer terms and stacking.</x:v>
      </x:c>
    </x:row>
    <x:row r="265" ht="72" customHeight="1">
      <x:c r="A265" s="184" t="str">
        <x:v>X01</x:v>
      </x:c>
      <x:c r="B265" s="184" t="str">
        <x:v>Currency</x:v>
      </x:c>
      <x:c r="C265" s="184" t="str">
        <x:v>MXN per USD</x:v>
      </x:c>
      <x:c r="D265" s="207" t="n">
        <x:v>18.7147</x:v>
      </x:c>
      <x:c r="E265" s="184" t="str">
        <x:v>MXN/USD</x:v>
      </x:c>
      <x:c r="F265" s="184" t="str">
        <x:v>Banco de México · SIE</x:v>
      </x:c>
      <x:c r="G265" s="184" t="str">
        <x:v>Nov. 6, 2026 → Publicación DOF</x:v>
      </x:c>
      <x:c r="H265" s="185" t="n">
        <x:v>46332</x:v>
      </x:c>
      <x:c r="I265" s="187" t="str">
        <x:v>https://www.banxico.org.mx/tipcamb/tipCamMIAction.do?idioma=sp</x:v>
      </x:c>
      <x:c r="J265" s="184" t="str">
        <x:v>Uses the official publication column on the workbook date. The same row has a separate daily FIX and settlement rate.</x:v>
      </x:c>
    </x:row>
    <x:row r="266" ht="72" customHeight="1">
      <x:c r="A266" s="184" t="str">
        <x:v>X02</x:v>
      </x:c>
      <x:c r="B266" s="184" t="str">
        <x:v>MG4</x:v>
      </x:c>
      <x:c r="C266" s="184" t="str">
        <x:v>Mexican list price</x:v>
      </x:c>
      <x:c r="D266" s="186" t="n">
        <x:v>609000</x:v>
      </x:c>
      <x:c r="E266" s="184" t="str">
        <x:v>MXN</x:v>
      </x:c>
      <x:c r="F266" s="184" t="str">
        <x:v>MG Motor México · MG4 Electric</x:v>
      </x:c>
      <x:c r="G266" s="184" t="str">
        <x:v>Versiones → Extended Range AT → regular price</x:v>
      </x:c>
      <x:c r="H266" s="185" t="n">
        <x:v>46332</x:v>
      </x:c>
      <x:c r="I266" s="187" t="str">
        <x:v>https://www.mgmotor.com.mx/vehiculos/mg4</x:v>
      </x:c>
      <x:c r="J266" s="184" t="str">
        <x:v>National model page gives list and special starting prices. Dealer configurator X03 identifies model year 2025.</x:v>
      </x:c>
    </x:row>
    <x:row r="267" ht="72" customHeight="1">
      <x:c r="A267" s="184" t="str">
        <x:v>X03</x:v>
      </x:c>
      <x:c r="B267" s="184" t="str">
        <x:v>MG4</x:v>
      </x:c>
      <x:c r="C267" s="184" t="str">
        <x:v>Advertised special price</x:v>
      </x:c>
      <x:c r="D267" s="186" t="n">
        <x:v>519000</x:v>
      </x:c>
      <x:c r="E267" s="184" t="str">
        <x:v>MXN</x:v>
      </x:c>
      <x:c r="F267" s="184" t="str">
        <x:v>MG Poliforum · MG4 configurator</x:v>
      </x:c>
      <x:c r="G267" s="184" t="str">
        <x:v>Extended Range AT → 2025 → Precio especial desde</x:v>
      </x:c>
      <x:c r="H267" s="185" t="n">
        <x:v>46332</x:v>
      </x:c>
      <x:c r="I267" s="187" t="str">
        <x:v>https://poliforum.mgmotor.com.mx/cotizador/MG4?version=Extended+Range</x:v>
      </x:c>
      <x:c r="J267" s="184" t="str">
        <x:v>Advertised starting price, subject to availability and terms. Treated as a sensitivity, with no assumption that Mexican promotional terms transfer.</x:v>
      </x:c>
    </x:row>
    <x:row r="268" ht="72" customHeight="1">
      <x:c r="A268" s="184" t="str">
        <x:v>X04</x:v>
      </x:c>
      <x:c r="B268" s="184" t="str">
        <x:v>MG4</x:v>
      </x:c>
      <x:c r="C268" s="184" t="str">
        <x:v>Performance, size and charging</x:v>
      </x:c>
      <x:c r="D268" s="184"/>
      <x:c r="E268" s="184"/>
      <x:c r="F268" s="184" t="str">
        <x:v>MG Motor México · technical sheet</x:v>
      </x:c>
      <x:c r="G268" s="184" t="str">
        <x:v>Extended Range column → technical parameters and performance</x:v>
      </x:c>
      <x:c r="H268" s="185" t="n">
        <x:v>46332</x:v>
      </x:c>
      <x:c r="I268" s="187" t="str">
        <x:v>https://cdn.mgmotor.com.mx/storage/fichas-tecnicas/mg-mg4-ficha-tecnica-01.pdf#page=1</x:v>
      </x:c>
      <x:c r="J268" s="184" t="str">
        <x:v>77 kWh, 180 kW motor, 520 km WLTP, 6.5 s to 100 km/h, 144 kW DC and 38 min at 10–80%. Rear cargo 350 L with seats up.</x:v>
      </x:c>
    </x:row>
    <x:row r="269" ht="72" customHeight="1">
      <x:c r="A269" s="184" t="str">
        <x:v>X05</x:v>
      </x:c>
      <x:c r="B269" s="184" t="str">
        <x:v>MG4</x:v>
      </x:c>
      <x:c r="C269" s="184" t="str">
        <x:v>Independent safety rating</x:v>
      </x:c>
      <x:c r="D269" s="184" t="n">
        <x:v>5</x:v>
      </x:c>
      <x:c r="E269" s="184" t="str">
        <x:v>stars</x:v>
      </x:c>
      <x:c r="F269" s="184" t="str">
        <x:v>Euro NCAP · MG4 Electric</x:v>
      </x:c>
      <x:c r="G269" s="184" t="str">
        <x:v>2022 crash assessment and rating validity</x:v>
      </x:c>
      <x:c r="H269" s="185" t="n">
        <x:v>46332</x:v>
      </x:c>
      <x:c r="I269" s="187" t="str">
        <x:v>https://www.euroncap.com/assessments/mg/4%20electric/1001/</x:v>
      </x:c>
      <x:c r="J269" s="184" t="str">
        <x:v>European model-family rating. Adult 83%, child 80%, vulnerable road users 75%, safety assist 78%.</x:v>
      </x:c>
    </x:row>
    <x:row r="270" ht="72" customHeight="1">
      <x:c r="A270" s="184" t="str">
        <x:v>X06</x:v>
      </x:c>
      <x:c r="B270" s="184" t="str">
        <x:v>Geely EX5</x:v>
      </x:c>
      <x:c r="C270" s="184" t="str">
        <x:v>Mexican list price</x:v>
      </x:c>
      <x:c r="D270" s="186" t="n">
        <x:v>699900</x:v>
      </x:c>
      <x:c r="E270" s="184" t="str">
        <x:v>MXN</x:v>
      </x:c>
      <x:c r="F270" s="184" t="str">
        <x:v>Geely México · battery-electric EX5 configurator</x:v>
      </x:c>
      <x:c r="G270" s="184" t="str">
        <x:v>2026 EX5 GF → price</x:v>
      </x:c>
      <x:c r="H270" s="185" t="n">
        <x:v>46332</x:v>
      </x:c>
      <x:c r="I270" s="187" t="str">
        <x:v>https://www.geelymexico.com/autos-electricos/cotizador/geely-ex5</x:v>
      </x:c>
      <x:c r="J270" s="184" t="str">
        <x:v>Matches the GF battery-electric trim. The cheaper EX5 EM-i is a different, plug-in hybrid model.</x:v>
      </x:c>
    </x:row>
    <x:row r="271" ht="72" customHeight="1">
      <x:c r="A271" s="184" t="str">
        <x:v>X07</x:v>
      </x:c>
      <x:c r="B271" s="184" t="str">
        <x:v>Geely EX5</x:v>
      </x:c>
      <x:c r="C271" s="184" t="str">
        <x:v>Performance, size and charge window</x:v>
      </x:c>
      <x:c r="D271" s="184"/>
      <x:c r="E271" s="184"/>
      <x:c r="F271" s="184" t="str">
        <x:v>Geely México · EX5 technical sheet</x:v>
      </x:c>
      <x:c r="G271" s="184" t="str">
        <x:v>GF → performance, dimensions, battery and DC charge</x:v>
      </x:c>
      <x:c r="H271" s="185" t="n">
        <x:v>46332</x:v>
      </x:c>
      <x:c r="I271" s="187" t="str">
        <x:v>https://cdn.geelymexico.com/storage/fichas-tecnicas/geely-ex5-ficha-tecnica-01.pdf#page=1</x:v>
      </x:c>
      <x:c r="J271" s="184" t="str">
        <x:v>60.22 kWh, 160 kW motor, 470 km NEDC, 7.1 s to 100 km/h, 20 min at 30–80% at 25°C, five seats and 461 L cargo.</x:v>
      </x:c>
    </x:row>
    <x:row r="272" ht="72" customHeight="1">
      <x:c r="A272" s="184" t="str">
        <x:v>X08</x:v>
      </x:c>
      <x:c r="B272" s="184" t="str">
        <x:v>Geely EX5</x:v>
      </x:c>
      <x:c r="C272" s="184" t="str">
        <x:v>Maximum DC charging reference</x:v>
      </x:c>
      <x:c r="D272" s="184" t="n">
        <x:v>100</x:v>
      </x:c>
      <x:c r="E272" s="184" t="str">
        <x:v>kW</x:v>
      </x:c>
      <x:c r="F272" s="184" t="str">
        <x:v>Geely · EX5 Australian specification guide</x:v>
      </x:c>
      <x:c r="G272" s="184" t="str">
        <x:v>60.22-kWh EX5 → Maximum DC Charging Capacity</x:v>
      </x:c>
      <x:c r="H272" s="185" t="n">
        <x:v>46332</x:v>
      </x:c>
      <x:c r="I272" s="187" t="str">
        <x:v>https://a-ap.storyblok.com/f/3000753/x/d270191923/geely-ex5-specification-guide_feb-25.pdf</x:v>
      </x:c>
      <x:c r="J272" s="184" t="str">
        <x:v>Same battery capacity. Cross-market reference only. The Mexican sheet verifies the charge window but omits peak DC kW.</x:v>
      </x:c>
    </x:row>
    <x:row r="273" ht="72" customHeight="1">
      <x:c r="A273" s="184" t="str">
        <x:v>X09</x:v>
      </x:c>
      <x:c r="B273" s="184" t="str">
        <x:v>Geely EX5</x:v>
      </x:c>
      <x:c r="C273" s="184" t="str">
        <x:v>Independent safety rating</x:v>
      </x:c>
      <x:c r="D273" s="184" t="n">
        <x:v>5</x:v>
      </x:c>
      <x:c r="E273" s="184" t="str">
        <x:v>stars</x:v>
      </x:c>
      <x:c r="F273" s="184" t="str">
        <x:v>Euro NCAP · Geely EX5</x:v>
      </x:c>
      <x:c r="G273" s="184" t="str">
        <x:v>2025 crash assessment and rating validity</x:v>
      </x:c>
      <x:c r="H273" s="185" t="n">
        <x:v>46332</x:v>
      </x:c>
      <x:c r="I273" s="187" t="str">
        <x:v>https://www.euroncap.com/assessments/geely/ex5/1136/</x:v>
      </x:c>
      <x:c r="J273" s="184" t="str">
        <x:v>European model-family rating. Adult 86%, child 87%, vulnerable road users 83%, safety assist 83%.</x:v>
      </x:c>
    </x:row>
    <x:row r="274" ht="72" customHeight="1">
      <x:c r="A274" s="184" t="str">
        <x:v>X10</x:v>
      </x:c>
      <x:c r="B274" s="184" t="str">
        <x:v>BYD Yuan Plus</x:v>
      </x:c>
      <x:c r="C274" s="184" t="str">
        <x:v>Mexican list price</x:v>
      </x:c>
      <x:c r="D274" s="186" t="n">
        <x:v>799000</x:v>
      </x:c>
      <x:c r="E274" s="184" t="str">
        <x:v>MXN</x:v>
      </x:c>
      <x:c r="F274" s="184" t="str">
        <x:v>BYD Metepec · Yuan Plus configurator</x:v>
      </x:c>
      <x:c r="G274" s="184" t="str">
        <x:v>Yuan Plus EV 480 KM → Precio de Compra</x:v>
      </x:c>
      <x:c r="H274" s="185" t="n">
        <x:v>46332</x:v>
      </x:c>
      <x:c r="I274" s="187" t="str">
        <x:v>https://www.bydmetepec.com.mx/byd_config_yuan.php</x:v>
      </x:c>
      <x:c r="J274" s="184" t="str">
        <x:v>Matches the 480-km version. Dalton BYD independently lists the same starting price.</x:v>
      </x:c>
    </x:row>
    <x:row r="275" ht="72" customHeight="1">
      <x:c r="A275" s="184" t="str">
        <x:v>X11</x:v>
      </x:c>
      <x:c r="B275" s="184" t="str">
        <x:v>BYD Yuan Plus</x:v>
      </x:c>
      <x:c r="C275" s="184" t="str">
        <x:v>Performance, size and charging</x:v>
      </x:c>
      <x:c r="D275" s="184"/>
      <x:c r="E275" s="184"/>
      <x:c r="F275" s="184" t="str">
        <x:v>BYD México technical sheet via BYD Premier</x:v>
      </x:c>
      <x:c r="G275" s="184" t="str">
        <x:v>Yuan Plus → specs and configurations</x:v>
      </x:c>
      <x:c r="H275" s="185" t="n">
        <x:v>46332</x:v>
      </x:c>
      <x:c r="I275" s="187" t="str">
        <x:v>https://bydpremier.com.mx/files/ficha-tecnica-yuan-plus.pdf#page=2</x:v>
      </x:c>
      <x:c r="J275" s="184" t="str">
        <x:v>60.48 kWh nominal, 150 kW motor, 480 km NEDC, 7.3 s to 100 km/h, 80 kW rated DC and 30 min at 30–80%. Cargo 440 L or 312 L with spare.</x:v>
      </x:c>
    </x:row>
    <x:row r="276" ht="72" customHeight="1">
      <x:c r="A276" s="184" t="str">
        <x:v>X12</x:v>
      </x:c>
      <x:c r="B276" s="184" t="str">
        <x:v>BYD Yuan Plus / ATTO 3</x:v>
      </x:c>
      <x:c r="C276" s="184" t="str">
        <x:v>Independent safety rating</x:v>
      </x:c>
      <x:c r="D276" s="184" t="n">
        <x:v>5</x:v>
      </x:c>
      <x:c r="E276" s="184" t="str">
        <x:v>stars</x:v>
      </x:c>
      <x:c r="F276" s="184" t="str">
        <x:v>Euro NCAP · BYD ATTO 3</x:v>
      </x:c>
      <x:c r="G276" s="184" t="str">
        <x:v>2022 crash assessment and rating validity</x:v>
      </x:c>
      <x:c r="H276" s="185" t="n">
        <x:v>46332</x:v>
      </x:c>
      <x:c r="I276" s="187" t="str">
        <x:v>https://www.euroncap.com/assessments/byd/atto-3/0992/</x:v>
      </x:c>
      <x:c r="J276" s="184" t="str">
        <x:v>European sibling model. Adult 91%, child 89%, vulnerable road users 69%, safety assist 74%. Crash rating is separate from assisted-driving assessment.</x:v>
      </x:c>
    </x:row>
    <x:row r="277" ht="72" customHeight="1">
      <x:c r="A277" s="184" t="str">
        <x:v>X13</x:v>
      </x:c>
      <x:c r="B277" s="184" t="str">
        <x:v>BYD Yuan Plus</x:v>
      </x:c>
      <x:c r="C277" s="184" t="str">
        <x:v>Mexican price cross-check</x:v>
      </x:c>
      <x:c r="D277" s="186" t="n">
        <x:v>799000</x:v>
      </x:c>
      <x:c r="E277" s="184" t="str">
        <x:v>MXN</x:v>
      </x:c>
      <x:c r="F277" s="184" t="str">
        <x:v>Dalton BYD</x:v>
      </x:c>
      <x:c r="G277" s="184" t="str">
        <x:v>Mexican model lineup → Yuan Plus EV</x:v>
      </x:c>
      <x:c r="H277" s="185" t="n">
        <x:v>46332</x:v>
      </x:c>
      <x:c r="I277" s="187" t="str">
        <x:v>https://daltonbyd.com/</x:v>
      </x:c>
      <x:c r="J277" s="184" t="str">
        <x:v>Corroborates the starting price on the exact-range configurator X10.</x:v>
      </x:c>
    </x:row>
    <x:row r="278" ht="80" customHeight="1">
      <x:c r="A278" s="184" t="str">
        <x:v>S01</x:v>
      </x:c>
      <x:c r="B278" s="184" t="str">
        <x:v>Chile</x:v>
      </x:c>
      <x:c r="C278" s="184" t="str">
        <x:v>Exchange rate</x:v>
      </x:c>
      <x:c r="D278" s="227" t="n">
        <x:v>970.94</x:v>
      </x:c>
      <x:c r="E278" s="184" t="str">
        <x:v>CLP/USD</x:v>
      </x:c>
      <x:c r="F278" s="184" t="str">
        <x:v>Banco Central de Chile</x:v>
      </x:c>
      <x:c r="G278" s="184" t="str">
        <x:v>Dólar observado → November 6, 2026</x:v>
      </x:c>
      <x:c r="H278" s="185" t="n">
        <x:v>46332</x:v>
      </x:c>
      <x:c r="I278" s="187" t="str">
        <x:v>https://si3.bcentral.cl/IndicadoresSiete/secure/Serie.aspx?gcode=PRE_TCO&amp;param=RABmAFYAWQB3AGYAaQBuAEkALQAzADUAbgBNAGgAaAAkADUAVwBQAC4AbQBYADAARwBOAGUAYwBjACMAQQBaAHAARgBhAGcAUABTAGUAdwA1ADQAMQA0AE0AawBLAF8AdQBDACQASABzAG0AXwA2AHQAawBvAFcAZwBKAEwAegBzAF8AbgBMAHIAYgBDAC4ARQA3AFUAVwB4AFIAWQBhAEEAOABkAHkAZwAxAEEARAA%3D</x:v>
      </x:c>
      <x:c r="J278" s="184" t="str">
        <x:v>Same conversion date as Mexico. Divide CLP prices by this rate.</x:v>
      </x:c>
    </x:row>
    <x:row r="279" ht="80" customHeight="1">
      <x:c r="A279" s="184" t="str">
        <x:v>S02</x:v>
      </x:c>
      <x:c r="B279" s="184" t="str">
        <x:v>Colombia</x:v>
      </x:c>
      <x:c r="C279" s="184" t="str">
        <x:v>Exchange rate</x:v>
      </x:c>
      <x:c r="D279" s="227" t="n">
        <x:v>3228.26</x:v>
      </x:c>
      <x:c r="E279" s="184" t="str">
        <x:v>COP/USD</x:v>
      </x:c>
      <x:c r="F279" s="184" t="str">
        <x:v>Superintendencia Financiera · Datos Abiertos</x:v>
      </x:c>
      <x:c r="G279" s="184" t="str">
        <x:v>TRM → date 06/11/2026</x:v>
      </x:c>
      <x:c r="H279" s="185" t="n">
        <x:v>46332</x:v>
      </x:c>
      <x:c r="I279" s="187" t="str">
        <x:v>https://www.datos.gov.co/Econom-a-y-Finanzas/Tasa-de-Cambio-Representativa-del-Mercado-Historic/mcec-87by/data_preview</x:v>
      </x:c>
      <x:c r="J279" s="184" t="str">
        <x:v>Same conversion date as Mexico. Divide COP prices by this rate.</x:v>
      </x:c>
    </x:row>
    <x:row r="280" ht="80" customHeight="1">
      <x:c r="A280" s="184" t="str">
        <x:v>S03</x:v>
      </x:c>
      <x:c r="B280" s="184" t="str">
        <x:v>MG4 Chile</x:v>
      </x:c>
      <x:c r="C280" s="184" t="str">
        <x:v>List price</x:v>
      </x:c>
      <x:c r="D280" s="227" t="n">
        <x:v>31990000</x:v>
      </x:c>
      <x:c r="E280" s="184" t="str">
        <x:v>CLP</x:v>
      </x:c>
      <x:c r="F280" s="184" t="str">
        <x:v>MG Motor Chile</x:v>
      </x:c>
      <x:c r="G280" s="184" t="str">
        <x:v>MG4 Deluxe LR → 77 kWh, 520 km WLTP, Precio lista</x:v>
      </x:c>
      <x:c r="H280" s="185" t="n">
        <x:v>46332</x:v>
      </x:c>
      <x:c r="I280" s="187" t="str">
        <x:v>https://www.mgmotor.cl/model/MG-4</x:v>
      </x:c>
      <x:c r="J280" s="184" t="str">
        <x:v>The 77 kWh Deluxe LR is the local counterpart to the Mexican Extended Range. Financing price excluded.</x:v>
      </x:c>
    </x:row>
    <x:row r="281" ht="80" customHeight="1">
      <x:c r="A281" s="184" t="str">
        <x:v>S04</x:v>
      </x:c>
      <x:c r="B281" s="184" t="str">
        <x:v>MG4 Uruguay</x:v>
      </x:c>
      <x:c r="C281" s="184" t="str">
        <x:v>Published distributor price</x:v>
      </x:c>
      <x:c r="D281" s="227" t="n">
        <x:v>37900</x:v>
      </x:c>
      <x:c r="E281" s="184" t="str">
        <x:v>USD</x:v>
      </x:c>
      <x:c r="F281" s="184" t="str">
        <x:v>MG Uruguay</x:v>
      </x:c>
      <x:c r="G281" s="184" t="str">
        <x:v>MG4 → Extended Range → 520 km WLTP</x:v>
      </x:c>
      <x:c r="H281" s="185" t="n">
        <x:v>46332</x:v>
      </x:c>
      <x:c r="I281" s="187" t="str">
        <x:v>https://mguruguay.com.uy/model/MG-4</x:v>
      </x:c>
      <x:c r="J281" s="184" t="str">
        <x:v>Official distributor price used. Autoblog's lower reference is tracked separately (S15).</x:v>
      </x:c>
    </x:row>
    <x:row r="282" ht="80" customHeight="1">
      <x:c r="A282" s="184" t="str">
        <x:v>S05</x:v>
      </x:c>
      <x:c r="B282" s="184" t="str">
        <x:v>EX5 Chile</x:v>
      </x:c>
      <x:c r="C282" s="184" t="str">
        <x:v>List price</x:v>
      </x:c>
      <x:c r="D282" s="227" t="n">
        <x:v>30990000</x:v>
      </x:c>
      <x:c r="E282" s="184" t="str">
        <x:v>CLP</x:v>
      </x:c>
      <x:c r="F282" s="184" t="str">
        <x:v>Geely Chile</x:v>
      </x:c>
      <x:c r="G282" s="184" t="str">
        <x:v>Versiones → EX5 Pro → Precio lista</x:v>
      </x:c>
      <x:c r="H282" s="185" t="n">
        <x:v>46332</x:v>
      </x:c>
      <x:c r="I282" s="187" t="str">
        <x:v>https://www.geely.cl/modelos/ex5/</x:v>
      </x:c>
      <x:c r="J282" s="184" t="str">
        <x:v>List price, separate from the November financing and brand discounts. Battery match in S06.</x:v>
      </x:c>
    </x:row>
    <x:row r="283" ht="80" customHeight="1">
      <x:c r="A283" s="184" t="str">
        <x:v>S06</x:v>
      </x:c>
      <x:c r="B283" s="184" t="str">
        <x:v>EX5 Chile</x:v>
      </x:c>
      <x:c r="C283" s="184" t="str">
        <x:v>Battery match</x:v>
      </x:c>
      <x:c r="D283" s="227" t="n">
        <x:v>60.22</x:v>
      </x:c>
      <x:c r="E283" s="184" t="str">
        <x:v>kWh</x:v>
      </x:c>
      <x:c r="F283" s="184" t="str">
        <x:v>Geely Chile</x:v>
      </x:c>
      <x:c r="G283" s="184" t="str">
        <x:v>EX5 brochure → Pro and Max → Capacidad Batería</x:v>
      </x:c>
      <x:c r="H283" s="185" t="n">
        <x:v>46332</x:v>
      </x:c>
      <x:c r="I283" s="187" t="str">
        <x:v>https://geely.cl/content/uploads/2025/03/NEW-EX5-BROCHURE-2.pdf</x:v>
      </x:c>
      <x:c r="J283" s="184" t="str">
        <x:v>EX5 Pro uses the same battery size as the Mexican GF. Features and range claims may differ.</x:v>
      </x:c>
    </x:row>
    <x:row r="284" ht="80" customHeight="1">
      <x:c r="A284" s="184" t="str">
        <x:v>S07</x:v>
      </x:c>
      <x:c r="B284" s="184" t="str">
        <x:v>EX5 Uruguay</x:v>
      </x:c>
      <x:c r="C284" s="184" t="str">
        <x:v>New-car reference price</x:v>
      </x:c>
      <x:c r="D284" s="227" t="n">
        <x:v>31990</x:v>
      </x:c>
      <x:c r="E284" s="184" t="str">
        <x:v>USD</x:v>
      </x:c>
      <x:c r="F284" s="184" t="str">
        <x:v>Autoblog Uruguay</x:v>
      </x:c>
      <x:c r="G284" s="184" t="str">
        <x:v>Precios 0km → Geely → EX5 Pro (60.22 kWh)</x:v>
      </x:c>
      <x:c r="H284" s="185" t="n">
        <x:v>46332</x:v>
      </x:c>
      <x:c r="I284" s="187" t="str">
        <x:v>https://www.autoblog.com.uy/p/precios-0km.html</x:v>
      </x:c>
      <x:c r="J284" s="184" t="str">
        <x:v>Trim-specific local new-car guide. The importer specification confirms the battery (S08).</x:v>
      </x:c>
    </x:row>
    <x:row r="285" ht="80" customHeight="1">
      <x:c r="A285" s="184" t="str">
        <x:v>S08</x:v>
      </x:c>
      <x:c r="B285" s="184" t="str">
        <x:v>EX5 Uruguay</x:v>
      </x:c>
      <x:c r="C285" s="184" t="str">
        <x:v>Battery match</x:v>
      </x:c>
      <x:c r="D285" s="227" t="n">
        <x:v>60.22</x:v>
      </x:c>
      <x:c r="E285" s="184" t="str">
        <x:v>kWh</x:v>
      </x:c>
      <x:c r="F285" s="184" t="str">
        <x:v>Geely Uruguay / Grupo Fiancar</x:v>
      </x:c>
      <x:c r="G285" s="184" t="str">
        <x:v>EX5 technical sheet → Pro</x:v>
      </x:c>
      <x:c r="H285" s="185" t="n">
        <x:v>46332</x:v>
      </x:c>
      <x:c r="I285" s="187" t="str">
        <x:v>https://geely.com.uy/wp-content/uploads/2025/09/Grupo-Fiancar.-Ficha-Tecnica-GEELY-EX5.pdf</x:v>
      </x:c>
      <x:c r="J285" s="184" t="str">
        <x:v>Confirms the matched battery and drivetrain.</x:v>
      </x:c>
    </x:row>
    <x:row r="286" ht="80" customHeight="1">
      <x:c r="A286" s="184" t="str">
        <x:v>S09</x:v>
      </x:c>
      <x:c r="B286" s="184" t="str">
        <x:v>EX5 Colombia</x:v>
      </x:c>
      <x:c r="C286" s="184" t="str">
        <x:v>Advertised starting price</x:v>
      </x:c>
      <x:c r="D286" s="227" t="n">
        <x:v>109990000</x:v>
      </x:c>
      <x:c r="E286" s="184" t="str">
        <x:v>COP</x:v>
      </x:c>
      <x:c r="F286" s="184" t="str">
        <x:v>Geely Colombia</x:v>
      </x:c>
      <x:c r="G286" s="184" t="str">
        <x:v>EX5 Pro → Precio desde</x:v>
      </x:c>
      <x:c r="H286" s="185" t="n">
        <x:v>46332</x:v>
      </x:c>
      <x:c r="I286" s="187" t="str">
        <x:v>https://geely.com.co/vehiculo/geely-ex5/</x:v>
      </x:c>
      <x:c r="J286" s="184" t="str">
        <x:v>Published Pro reference checked November 6. The cheaper SE listing is a smaller-battery trim.</x:v>
      </x:c>
    </x:row>
    <x:row r="287" ht="80" customHeight="1">
      <x:c r="A287" s="184" t="str">
        <x:v>S10</x:v>
      </x:c>
      <x:c r="B287" s="184" t="str">
        <x:v>EX5 Colombia</x:v>
      </x:c>
      <x:c r="C287" s="184" t="str">
        <x:v>Battery match</x:v>
      </x:c>
      <x:c r="D287" s="227" t="n">
        <x:v>60.22</x:v>
      </x:c>
      <x:c r="E287" s="184" t="str">
        <x:v>kWh</x:v>
      </x:c>
      <x:c r="F287" s="184" t="str">
        <x:v>Geely Colombia / Grupo Vardí</x:v>
      </x:c>
      <x:c r="G287" s="184" t="str">
        <x:v>EX5 specification brochure → Pro</x:v>
      </x:c>
      <x:c r="H287" s="185" t="n">
        <x:v>46332</x:v>
      </x:c>
      <x:c r="I287" s="187" t="str">
        <x:v>https://geely.com.co/wp-content/uploads/2026/03/EX5_Bajav4.pdf</x:v>
      </x:c>
      <x:c r="J287" s="184" t="str">
        <x:v>Confirms the Pro battery.</x:v>
      </x:c>
    </x:row>
    <x:row r="288" ht="80" customHeight="1">
      <x:c r="A288" s="184" t="str">
        <x:v>S11</x:v>
      </x:c>
      <x:c r="B288" s="184" t="str">
        <x:v>EX5 Ecuador</x:v>
      </x:c>
      <x:c r="C288" s="184" t="str">
        <x:v>Advertised starting price</x:v>
      </x:c>
      <x:c r="D288" s="227" t="n">
        <x:v>27490</x:v>
      </x:c>
      <x:c r="E288" s="184" t="str">
        <x:v>USD</x:v>
      </x:c>
      <x:c r="F288" s="184" t="str">
        <x:v>Geely Ecuador</x:v>
      </x:c>
      <x:c r="G288" s="184" t="str">
        <x:v>EX5 Pro → Desde USD 27.490 and battery section</x:v>
      </x:c>
      <x:c r="H288" s="185" t="n">
        <x:v>46332</x:v>
      </x:c>
      <x:c r="I288" s="187" t="str">
        <x:v>https://www.geely.com.ec/geely-ex5</x:v>
      </x:c>
      <x:c r="J288" s="184" t="str">
        <x:v>Matches 60.22 kWh. Ecuador page gives 80 kW DC for its market. The Australian 100 kW reference on the specs tab is separate.</x:v>
      </x:c>
    </x:row>
    <x:row r="289" ht="80" customHeight="1">
      <x:c r="A289" s="184" t="str">
        <x:v>S12</x:v>
      </x:c>
      <x:c r="B289" s="184" t="str">
        <x:v>Yuan Plus Chile</x:v>
      </x:c>
      <x:c r="C289" s="184" t="str">
        <x:v>New-car listing price</x:v>
      </x:c>
      <x:c r="D289" s="227" t="n">
        <x:v>25490000</x:v>
      </x:c>
      <x:c r="E289" s="184" t="str">
        <x:v>CLP</x:v>
      </x:c>
      <x:c r="F289" s="184" t="str">
        <x:v>Astara Retail official store on Mercado Libre Chile</x:v>
      </x:c>
      <x:c r="G289" s="184" t="str">
        <x:v>New 2027 Yuan Plus EV GS listing 4591247806</x:v>
      </x:c>
      <x:c r="H289" s="185" t="n">
        <x:v>46332</x:v>
      </x:c>
      <x:c r="I289" s="187" t="str">
        <x:v>https://auto.mercadolibre.cl/MLC-4591247806-byd-yuan-plus-2027-_JM</x:v>
      </x:c>
      <x:c r="J289" s="184" t="str">
        <x:v>New dealer listing, same value as Astara's published list price. Prior financing promotions excluded.</x:v>
      </x:c>
    </x:row>
    <x:row r="290" ht="80" customHeight="1">
      <x:c r="A290" s="184" t="str">
        <x:v>S13</x:v>
      </x:c>
      <x:c r="B290" s="184" t="str">
        <x:v>Yuan Plus Chile</x:v>
      </x:c>
      <x:c r="C290" s="184" t="str">
        <x:v>Battery match</x:v>
      </x:c>
      <x:c r="D290" s="227" t="n">
        <x:v>60.48</x:v>
      </x:c>
      <x:c r="E290" s="184" t="str">
        <x:v>kWh</x:v>
      </x:c>
      <x:c r="F290" s="184" t="str">
        <x:v>Astara Retail</x:v>
      </x:c>
      <x:c r="G290" s="184" t="str">
        <x:v>BYD Yuan Plus GS → technical specifications</x:v>
      </x:c>
      <x:c r="H290" s="185" t="n">
        <x:v>46332</x:v>
      </x:c>
      <x:c r="I290" s="187" t="str">
        <x:v>https://astararetail.cl/vehiculos/byd-yuan-plus-gs/</x:v>
      </x:c>
      <x:c r="J290" s="184" t="str">
        <x:v>Confirms the 60.48 kWh GS.</x:v>
      </x:c>
    </x:row>
    <x:row r="291" ht="80" customHeight="1">
      <x:c r="A291" s="184" t="str">
        <x:v>S14</x:v>
      </x:c>
      <x:c r="B291" s="184" t="str">
        <x:v>Yuan Plus Uruguay</x:v>
      </x:c>
      <x:c r="C291" s="184" t="str">
        <x:v>New-car reference price</x:v>
      </x:c>
      <x:c r="D291" s="227" t="n">
        <x:v>31990</x:v>
      </x:c>
      <x:c r="E291" s="184" t="str">
        <x:v>USD</x:v>
      </x:c>
      <x:c r="F291" s="184" t="str">
        <x:v>Autoblog Uruguay</x:v>
      </x:c>
      <x:c r="G291" s="184" t="str">
        <x:v>Precios 0km → BYD → Yuan Plus EV480 Luxury (60.48 kWh)</x:v>
      </x:c>
      <x:c r="H291" s="185" t="n">
        <x:v>46332</x:v>
      </x:c>
      <x:c r="I291" s="187" t="str">
        <x:v>https://www.autoblog.com.uy/p/precios-0km.html</x:v>
      </x:c>
      <x:c r="J291" s="184" t="str">
        <x:v>Explicit price and battery pairing. The local BYD specification lists separate 410-km and 480-km packs.</x:v>
      </x:c>
    </x:row>
    <x:row r="292" ht="80" customHeight="1">
      <x:c r="A292" s="184" t="str">
        <x:v>S15</x:v>
      </x:c>
      <x:c r="B292" s="184" t="str">
        <x:v>MG4 Uruguay</x:v>
      </x:c>
      <x:c r="C292" s="184" t="str">
        <x:v>Lower published guide reference</x:v>
      </x:c>
      <x:c r="D292" s="227" t="n">
        <x:v>34900</x:v>
      </x:c>
      <x:c r="E292" s="184" t="str">
        <x:v>USD</x:v>
      </x:c>
      <x:c r="F292" s="184" t="str">
        <x:v>Autoblog Uruguay</x:v>
      </x:c>
      <x:c r="G292" s="184" t="str">
        <x:v>Precios 0km → MG4 Deluxe Extended Range 2WD (77 kWh)</x:v>
      </x:c>
      <x:c r="H292" s="185" t="n">
        <x:v>46332</x:v>
      </x:c>
      <x:c r="I292" s="187" t="str">
        <x:v>https://www.autoblog.com.uy/p/precios-0km.html</x:v>
      </x:c>
      <x:c r="J292" s="184" t="str">
        <x:v>Conflicts with $37,900 distributor page. Used only for a sensitivity, pending a dealer quote.</x:v>
      </x:c>
    </x:row>
    <x:row r="293" ht="80" customHeight="1">
      <x:c r="A293" s="184" t="str">
        <x:v>S16</x:v>
      </x:c>
      <x:c r="B293" s="184" t="str">
        <x:v>MG4 Chile</x:v>
      </x:c>
      <x:c r="C293" s="184" t="str">
        <x:v>Any-payment brand offer</x:v>
      </x:c>
      <x:c r="D293" s="227" t="n">
        <x:v>25990000</x:v>
      </x:c>
      <x:c r="E293" s="184" t="str">
        <x:v>CLP</x:v>
      </x:c>
      <x:c r="F293" s="184" t="str">
        <x:v>Auto Summit Chile</x:v>
      </x:c>
      <x:c r="G293" s="184" t="str">
        <x:v>MG4 EV 77 kWh DLX → Todo medio de pago</x:v>
      </x:c>
      <x:c r="H293" s="185" t="n">
        <x:v>46332</x:v>
      </x:c>
      <x:c r="I293" s="187" t="str">
        <x:v>https://summitstore.cl/MG/mg-4</x:v>
      </x:c>
      <x:c r="J293" s="184" t="str">
        <x:v>Includes brand discount, valid through November 30, 2026. The lower CLP 24,990,000 price requires financing.</x:v>
      </x:c>
    </x:row>
    <x:row r="294" ht="80" customHeight="1">
      <x:c r="A294" s="184" t="str">
        <x:v>S17</x:v>
      </x:c>
      <x:c r="B294" s="184" t="str">
        <x:v>Regional databases</x:v>
      </x:c>
      <x:c r="C294" s="184" t="str">
        <x:v>Trim-level discovery</x:v>
      </x:c>
      <x:c r="D294" s="227"/>
      <x:c r="E294" s="184"/>
      <x:c r="F294" s="184" t="str">
        <x:v>Autos Eléctricos</x:v>
      </x:c>
      <x:c r="G294" s="184" t="str">
        <x:v>Country catalogs → prices and battery</x:v>
      </x:c>
      <x:c r="H294" s="185" t="n">
        <x:v>46332</x:v>
      </x:c>
      <x:c r="I294" s="187" t="str">
        <x:v>https://autoselectricos.com/</x:v>
      </x:c>
      <x:c r="J294" s="184" t="str">
        <x:v>Useful for discovering markets and checking local trims. Its lowest advertised model price may be a different battery or a discounted offer.</x:v>
      </x:c>
    </x:row>
    <x:row r="295" ht="80" customHeight="1">
      <x:c r="A295" s="184" t="str">
        <x:v>S18</x:v>
      </x:c>
      <x:c r="B295" s="184" t="str">
        <x:v>Colombia</x:v>
      </x:c>
      <x:c r="C295" s="184" t="str">
        <x:v>Excluded rows</x:v>
      </x:c>
      <x:c r="D295" s="227"/>
      <x:c r="E295" s="184"/>
      <x:c r="F295" s="184" t="str">
        <x:v>Cathay EV · Colombia data and CSV</x:v>
      </x:c>
      <x:c r="G295" s="184" t="str">
        <x:v>BYD Yuan Plus Lux and MG4 EV Urban</x:v>
      </x:c>
      <x:c r="H295" s="185" t="n">
        <x:v>46332</x:v>
      </x:c>
      <x:c r="I295" s="187" t="str">
        <x:v>https://cathayev.com/co/datos/autos-chinos-a-la-venta</x:v>
      </x:c>
      <x:c r="J295" s="184" t="str">
        <x:v>Yuan Plus Lux has no published price in this dataset. MG4 Urban entry has a 42.8 kWh battery and is excluded from the 77 kWh sample.</x:v>
      </x:c>
    </x:row>
    <x:row r="296" ht="80" customHeight="1">
      <x:c r="A296" s="184" t="str">
        <x:v>S19</x:v>
      </x:c>
      <x:c r="B296" s="184" t="str">
        <x:v>Argentina</x:v>
      </x:c>
      <x:c r="C296" s="184" t="str">
        <x:v>Historical observation</x:v>
      </x:c>
      <x:c r="D296" s="227"/>
      <x:c r="E296" s="184"/>
      <x:c r="F296" s="184" t="str">
        <x:v>Evtern · Argentina EX5 Pro</x:v>
      </x:c>
      <x:c r="G296" s="184" t="str">
        <x:v>Price reference captured October 17, 2025</x:v>
      </x:c>
      <x:c r="H296" s="185" t="n">
        <x:v>46332</x:v>
      </x:c>
      <x:c r="I296" s="187" t="str">
        <x:v>https://evtern.com/geely-ex5-pro-ar.html</x:v>
      </x:c>
      <x:c r="J296" s="184" t="str">
        <x:v>The database flags this as historical. Not included in the November 2026 sample.</x:v>
      </x:c>
    </x:row>
    <x:row r="297" ht="80" customHeight="1">
      <x:c r="A297" s="184" t="str">
        <x:v>S20</x:v>
      </x:c>
      <x:c r="B297" s="184" t="str">
        <x:v>Regional databases</x:v>
      </x:c>
      <x:c r="C297" s="184" t="str">
        <x:v>Market-level context</x:v>
      </x:c>
      <x:c r="D297" s="227"/>
      <x:c r="E297" s="184"/>
      <x:c r="F297" s="184" t="str">
        <x:v>IEA · Global EV Data Explorer</x:v>
      </x:c>
      <x:c r="G297" s="184" t="str">
        <x:v>Global EV Outlook 2026 data tools</x:v>
      </x:c>
      <x:c r="H297" s="185" t="n">
        <x:v>46332</x:v>
      </x:c>
      <x:c r="I297" s="187" t="str">
        <x:v>https://www.iea.org/data-and-statistics/data-tools/global-ev-data-explorer</x:v>
      </x:c>
      <x:c r="J297" s="184" t="str">
        <x:v>Useful for context. The workbook average uses explicit trim-level price observations rather than market-wide EV indicators.</x:v>
      </x:c>
    </x:row>
    <x:row r="298" ht="75" customHeight="1">
      <x:c r="A298" s="184" t="str">
        <x:v>S21</x:v>
      </x:c>
      <x:c r="B298" s="184" t="str">
        <x:v>Chile</x:v>
      </x:c>
      <x:c r="C298" s="184" t="str">
        <x:v>Standard VAT</x:v>
      </x:c>
      <x:c r="D298" s="189" t="n">
        <x:v>0.19</x:v>
      </x:c>
      <x:c r="E298" s="184" t="str">
        <x:v>fraction</x:v>
      </x:c>
      <x:c r="F298" s="184" t="str">
        <x:v>Servicio de Impuestos Internos</x:v>
      </x:c>
      <x:c r="G298" s="184" t="str">
        <x:v>VAT FAQ → 19% under Article 14</x:v>
      </x:c>
      <x:c r="H298" s="185" t="n">
        <x:v>46332</x:v>
      </x:c>
      <x:c r="I298" s="187" t="str">
        <x:v>https://www.sii.cl/preguntas_frecuentes/impuestos_mensuales/001_130_0572.htm</x:v>
      </x:c>
      <x:c r="J298" s="184" t="str">
        <x:v>Divide tax-inclusive Chilean sticker prices by 1.19. Apply the same hypothetical rebates after conversion.</x:v>
      </x:c>
    </x:row>
    <x:row r="299" ht="75" customHeight="1">
      <x:c r="A299" s="184" t="str">
        <x:v>S22</x:v>
      </x:c>
      <x:c r="B299" s="184" t="str">
        <x:v>MG4 Chile</x:v>
      </x:c>
      <x:c r="C299" s="184" t="str">
        <x:v>List price includes VAT</x:v>
      </x:c>
      <x:c r="D299" s="186" t="n">
        <x:v>31990000</x:v>
      </x:c>
      <x:c r="E299" s="184" t="str">
        <x:v>CLP</x:v>
      </x:c>
      <x:c r="F299" s="184" t="str">
        <x:v>MG Motor Chile · May 2026 public price list</x:v>
      </x:c>
      <x:c r="G299" s="184" t="str">
        <x:v>Electric vehicles → MG4 77 kWh DLX → Precio Lista Público C/IVA</x:v>
      </x:c>
      <x:c r="H299" s="185" t="n">
        <x:v>46332</x:v>
      </x:c>
      <x:c r="I299" s="187" t="str">
        <x:v>https://mgmotors-prod-s3.s3.us-east-2.amazonaws.com/CL/menu/2026/05/cl_20260511_140042_menu_lista-de-precios_menu.pdf</x:v>
      </x:c>
      <x:c r="J299" s="184" t="str">
        <x:v>Dated price sheet identifies tax basis. S03 confirms the same list price on the live manufacturer page.</x:v>
      </x:c>
    </x:row>
    <x:row r="300" ht="75" customHeight="1">
      <x:c r="A300" s="184" t="str">
        <x:v>S23</x:v>
      </x:c>
      <x:c r="B300" s="184" t="str">
        <x:v>BYD Chile</x:v>
      </x:c>
      <x:c r="C300" s="184" t="str">
        <x:v>List price includes VAT</x:v>
      </x:c>
      <x:c r="D300" s="186" t="n">
        <x:v>25490000</x:v>
      </x:c>
      <x:c r="E300" s="184" t="str">
        <x:v>CLP</x:v>
      </x:c>
      <x:c r="F300" s="184" t="str">
        <x:v>Astara Retail · BYD Yuan Plus</x:v>
      </x:c>
      <x:c r="G300" s="184" t="str">
        <x:v>GS list price and terms → all published prices include IVA</x:v>
      </x:c>
      <x:c r="H300" s="185" t="n">
        <x:v>46332</x:v>
      </x:c>
      <x:c r="I300" s="187" t="str">
        <x:v>https://astararetail.cl/byd-yuan-plus/</x:v>
      </x:c>
      <x:c r="J300" s="184" t="str">
        <x:v>Astara terms document the tax basis. Its separate new 2027 GS dealer listing in S12 confirms the same advertised list price.</x:v>
      </x:c>
    </x:row>
    <x:row r="301" ht="75" customHeight="1">
      <x:c r="A301" s="184" t="str">
        <x:v>S24</x:v>
      </x:c>
      <x:c r="B301" s="184" t="str">
        <x:v>MG4 Chile</x:v>
      </x:c>
      <x:c r="C301" s="184" t="str">
        <x:v>Standard 51 kWh list price</x:v>
      </x:c>
      <x:c r="D301" s="186" t="n">
        <x:v>26990000</x:v>
      </x:c>
      <x:c r="E301" s="184" t="str">
        <x:v>CLP</x:v>
      </x:c>
      <x:c r="F301" s="184" t="str">
        <x:v>MG Motor Chile</x:v>
      </x:c>
      <x:c r="G301" s="184" t="str">
        <x:v>MG4 Standard → 51 kWh, 350 km WLTP and list price</x:v>
      </x:c>
      <x:c r="H301" s="185" t="n">
        <x:v>46332</x:v>
      </x:c>
      <x:c r="I301" s="187" t="str">
        <x:v>https://www.mgmotor.cl/model/MG-4</x:v>
      </x:c>
      <x:c r="J301" s="184" t="str">
        <x:v>Same May list in S22 identifies the Standard price as VAT-inclusive. A separate trim sensitivity, not an observation in the 77 kWh average.</x:v>
      </x:c>
    </x:row>
    <x:row r="302" ht="75" customHeight="1">
      <x:c r="A302" s="184" t="str">
        <x:v>X14</x:v>
      </x:c>
      <x:c r="B302" s="184" t="str">
        <x:v>MG</x:v>
      </x:c>
      <x:c r="C302" s="184" t="str">
        <x:v>Brand origin and parent</x:v>
      </x:c>
      <x:c r="D302" s="184" t="str">
        <x:v>British origin; Chinese-owned</x:v>
      </x:c>
      <x:c r="E302" s="184"/>
      <x:c r="F302" s="184" t="str">
        <x:v>SAIC Motor</x:v>
      </x:c>
      <x:c r="G302" s="184" t="str">
        <x:v>SAIC Motor establishes new plant in Thailand → paragraphs 2–3</x:v>
      </x:c>
      <x:c r="H302" s="185" t="n">
        <x:v>46332</x:v>
      </x:c>
      <x:c r="I302" s="187" t="str">
        <x:v>https://www.saicmotor.com/e/latest_news/mg/50372.shtml</x:v>
      </x:c>
      <x:c r="J302" s="184" t="str">
        <x:v>SAIC identifies MG as originating in the UK and as a brand owned by SAIC Motor, a Chinese automaker. The extra credit uses current parent ownership to classify MG.</x:v>
      </x:c>
    </x:row>
    <x:row r="303" ht="75" customHeight="1">
      <x:c r="A303" s="184" t="str">
        <x:v>X15</x:v>
      </x:c>
      <x:c r="B303" s="184" t="str">
        <x:v>MG</x:v>
      </x:c>
      <x:c r="C303" s="184" t="str">
        <x:v>SAIC ownership began</x:v>
      </x:c>
      <x:c r="D303" s="309" t="n">
        <x:v>2007</x:v>
      </x:c>
      <x:c r="E303" s="184" t="str">
        <x:v>year</x:v>
      </x:c>
      <x:c r="F303" s="184" t="str">
        <x:v>SAIC Motor · MG brand history</x:v>
      </x:c>
      <x:c r="G303" s="184" t="str">
        <x:v>Brand history → 2007 Nanjing acquisition</x:v>
      </x:c>
      <x:c r="H303" s="185" t="n">
        <x:v>46332</x:v>
      </x:c>
      <x:c r="I303" s="187" t="str">
        <x:v>https://www.saicmotor.com/english/history/r1.html</x:v>
      </x:c>
      <x:c r="J303" s="184" t="str">
        <x:v>Nanjing acquired MG in 2005. SAIC acquired Nanjing in 2007, bringing MG under SAIC ownership.</x:v>
      </x:c>
    </x:row>
    <x:row r="304">
      <x:c r="L304" s="211"/>
      <x:c r="M304" s="211"/>
      <x:c r="N304" s="211"/>
      <x:c r="O304" s="211"/>
      <x:c r="P304" s="211"/>
      <x:c r="Q304"/>
      <x:c r="R304"/>
      <x:c r="S304"/>
      <x:c r="T304"/>
    </x:row>
    <x:row r="305" ht="36" customHeight="1">
      <x:c r="L305" s="215" t="str">
        <x:v>Extra credit — Chinese EVs at Latin American prices</x:v>
      </x:c>
      <x:c r="M305" s="214"/>
      <x:c r="N305" s="214"/>
      <x:c r="O305" s="214"/>
      <x:c r="P305" s="214"/>
      <x:c r="Q305" s="286"/>
      <x:c r="R305" s="286"/>
      <x:c r="S305" s="286"/>
      <x:c r="T305" s="286"/>
    </x:row>
    <x:row r="306" ht="30" customHeight="1">
      <x:c r="L306" s="211" t="str">
        <x:v>November 6, 2026 snapshot. Mexico prices are in M327:O334. Country prices and averages are in L350:T364. The Chile VAT comparison is in L380:T382.</x:v>
      </x:c>
      <x:c r="M306" s="211"/>
      <x:c r="N306" s="211"/>
      <x:c r="O306" s="211"/>
      <x:c r="P306" s="211"/>
      <x:c r="Q306" s="29"/>
      <x:c r="R306" s="29"/>
      <x:c r="S306" s="29"/>
      <x:c r="T306" s="29"/>
    </x:row>
    <x:row r="307" ht="30" customHeight="1">
      <x:c r="L307" s="211" t="str">
        <x:v>The three model families have five-star Euro NCAP ratings. Mexican and South American trims are matched by model and battery capacity. Local equipment and test cycles can differ.</x:v>
      </x:c>
      <x:c r="M307" s="211"/>
      <x:c r="N307" s="211"/>
      <x:c r="O307" s="211"/>
      <x:c r="P307" s="211"/>
      <x:c r="Q307" s="29"/>
      <x:c r="R307" s="29"/>
      <x:c r="S307" s="29"/>
      <x:c r="T307" s="29"/>
    </x:row>
    <x:row r="308">
      <x:c r="L308" s="211"/>
      <x:c r="M308" s="211"/>
      <x:c r="N308" s="211"/>
      <x:c r="O308" s="211"/>
      <x:c r="P308" s="211"/>
      <x:c r="Q308"/>
      <x:c r="R308"/>
      <x:c r="S308"/>
      <x:c r="T308"/>
    </x:row>
    <x:row r="309" ht="36" customHeight="1">
      <x:c r="L309" s="214" t="str">
        <x:v>Vehicle and test basis</x:v>
      </x:c>
      <x:c r="M309" s="214" t="str">
        <x:v>MG4 Extended Range</x:v>
      </x:c>
      <x:c r="N309" s="214" t="str">
        <x:v>Geely EX5 GF</x:v>
      </x:c>
      <x:c r="O309" s="214" t="str">
        <x:v>BYD Yuan Plus EV</x:v>
      </x:c>
      <x:c r="P309" s="214" t="str">
        <x:v>Sources and qualifications</x:v>
      </x:c>
      <x:c r="Q309" s="287"/>
      <x:c r="R309" s="287"/>
      <x:c r="S309" s="287"/>
      <x:c r="T309" s="287"/>
    </x:row>
    <x:row r="310" ht="33" customHeight="1">
      <x:c r="L310" s="211" t="str">
        <x:v>Mexican trim / model year</x:v>
      </x:c>
      <x:c r="M310" s="211" t="str">
        <x:v>2025 Extended Range AT</x:v>
      </x:c>
      <x:c r="N310" s="211" t="str">
        <x:v>2026 GF BEV</x:v>
      </x:c>
      <x:c r="O310" s="211" t="str">
        <x:v>480 km EV</x:v>
      </x:c>
      <x:c r="P310" s="288" t="str">
        <x:v>X02/X03, X06 and X10. Uses the MG4's longest-range Mexican trim.</x:v>
      </x:c>
      <x:c r="Q310" s="289"/>
      <x:c r="R310" s="289"/>
      <x:c r="S310" s="289"/>
      <x:c r="T310" s="289"/>
    </x:row>
    <x:row r="311" ht="33" customHeight="1">
      <x:c r="L311" s="218" t="str">
        <x:v>Body type</x:v>
      </x:c>
      <x:c r="M311" s="218" t="str">
        <x:v>Compact hatchback</x:v>
      </x:c>
      <x:c r="N311" s="218" t="str">
        <x:v>Compact crossover</x:v>
      </x:c>
      <x:c r="O311" s="218" t="str">
        <x:v>Compact crossover</x:v>
      </x:c>
      <x:c r="P311" s="218" t="str">
        <x:v>X02, X07 and X11. All have rear seating.</x:v>
      </x:c>
      <x:c r="Q311" s="290"/>
      <x:c r="R311" s="290"/>
      <x:c r="S311" s="290"/>
      <x:c r="T311" s="290"/>
    </x:row>
    <x:row r="312" ht="33" customHeight="1">
      <x:c r="L312" s="211" t="str">
        <x:v>Rear cargo, seats up (L)</x:v>
      </x:c>
      <x:c r="M312" s="211" t="n">
        <x:v>350</x:v>
      </x:c>
      <x:c r="N312" s="211" t="n">
        <x:v>461</x:v>
      </x:c>
      <x:c r="O312" s="211" t="n">
        <x:v>440</x:v>
      </x:c>
      <x:c r="P312" s="288" t="str">
        <x:v>X04/X07/X11. BYD drops to 312 L with a spare. Cargo measurement methods can differ.</x:v>
      </x:c>
      <x:c r="Q312" s="289"/>
      <x:c r="R312" s="289"/>
      <x:c r="S312" s="289"/>
      <x:c r="T312" s="289"/>
    </x:row>
    <x:row r="313" ht="33" customHeight="1">
      <x:c r="L313" s="218" t="str">
        <x:v>Euro NCAP crash rating</x:v>
      </x:c>
      <x:c r="M313" s="218" t="str">
        <x:v>5 stars · 2022</x:v>
      </x:c>
      <x:c r="N313" s="218" t="str">
        <x:v>5 stars · 2025</x:v>
      </x:c>
      <x:c r="O313" s="218" t="str">
        <x:v>5 stars · 2022</x:v>
      </x:c>
      <x:c r="P313" s="218" t="str">
        <x:v>X05/X09/X12. BYD was tested as ATTO 3. Test protocols vary by year.</x:v>
      </x:c>
      <x:c r="Q313" s="290"/>
      <x:c r="R313" s="290"/>
      <x:c r="S313" s="290"/>
      <x:c r="T313" s="290"/>
    </x:row>
    <x:row r="314" ht="33" customHeight="1">
      <x:c r="L314" s="211" t="str">
        <x:v>Battery capacity (kWh)</x:v>
      </x:c>
      <x:c r="M314" s="211" t="n">
        <x:v>77</x:v>
      </x:c>
      <x:c r="N314" s="211" t="n">
        <x:v>60.22</x:v>
      </x:c>
      <x:c r="O314" s="211" t="n">
        <x:v>60.48</x:v>
      </x:c>
      <x:c r="P314" s="288" t="str">
        <x:v>X04/X07/X11. Published pack capacities.</x:v>
      </x:c>
      <x:c r="Q314" s="289"/>
      <x:c r="R314" s="289"/>
      <x:c r="S314" s="289"/>
      <x:c r="T314" s="289"/>
    </x:row>
    <x:row r="315" ht="33" customHeight="1">
      <x:c r="L315" s="218" t="str">
        <x:v>Rated range (km)</x:v>
      </x:c>
      <x:c r="M315" s="218" t="n">
        <x:v>520</x:v>
      </x:c>
      <x:c r="N315" s="218" t="n">
        <x:v>470</x:v>
      </x:c>
      <x:c r="O315" s="218" t="n">
        <x:v>480</x:v>
      </x:c>
      <x:c r="P315" s="218" t="str">
        <x:v>X04/X07/X11. Use the named test cycle below.</x:v>
      </x:c>
      <x:c r="Q315" s="290"/>
      <x:c r="R315" s="290"/>
      <x:c r="S315" s="290"/>
      <x:c r="T315" s="290"/>
    </x:row>
    <x:row r="316" ht="33" customHeight="1">
      <x:c r="L316" s="211" t="str">
        <x:v>Range test cycle</x:v>
      </x:c>
      <x:c r="M316" s="211" t="str">
        <x:v>WLTP</x:v>
      </x:c>
      <x:c r="N316" s="211" t="str">
        <x:v>NEDC</x:v>
      </x:c>
      <x:c r="O316" s="211" t="str">
        <x:v>NEDC</x:v>
      </x:c>
      <x:c r="P316" s="288" t="str">
        <x:v>EPA-equivalent ranges were not estimated.</x:v>
      </x:c>
      <x:c r="Q316" s="289"/>
      <x:c r="R316" s="289"/>
      <x:c r="S316" s="289"/>
      <x:c r="T316" s="289"/>
    </x:row>
    <x:row r="317" ht="33" customHeight="1">
      <x:c r="L317" s="218" t="str">
        <x:v>Rated range (mi)</x:v>
      </x:c>
      <x:c r="M317" s="219" t="n">
        <x:f>M315/1.609344</x:f>
        <x:v>323.11301996341365</x:v>
      </x:c>
      <x:c r="N317" s="219" t="n">
        <x:f>N315/1.609344</x:f>
        <x:v>292.04446035154695</x:v>
      </x:c>
      <x:c r="O317" s="219" t="n">
        <x:f>O315/1.609344</x:f>
        <x:v>298.2581722739203</x:v>
      </x:c>
      <x:c r="P317" s="218" t="str">
        <x:v>Same ratings as above, converted from kilometers to miles.</x:v>
      </x:c>
      <x:c r="Q317" s="290"/>
      <x:c r="R317" s="290"/>
      <x:c r="S317" s="290"/>
      <x:c r="T317" s="290"/>
    </x:row>
    <x:row r="318" ht="33" customHeight="1">
      <x:c r="L318" s="211" t="str">
        <x:v>Calculated range / battery (mi/kWh)</x:v>
      </x:c>
      <x:c r="M318" s="217" t="n">
        <x:f>M317/M314</x:f>
        <x:v>4.196272986537839</x:v>
      </x:c>
      <x:c r="N318" s="217" t="n">
        <x:f>N317/N314</x:f>
        <x:v>4.84962571158331</x:v>
      </x:c>
      <x:c r="O318" s="217" t="n">
        <x:f>O317/O314</x:f>
        <x:v>4.931517398709</x:v>
      </x:c>
      <x:c r="P318" s="288" t="str">
        <x:v>Same method as Part 1. Cycle-dependent and excludes wall-charging losses.</x:v>
      </x:c>
      <x:c r="Q318" s="289"/>
      <x:c r="R318" s="289"/>
      <x:c r="S318" s="289"/>
      <x:c r="T318" s="289"/>
    </x:row>
    <x:row r="319" ht="33" customHeight="1">
      <x:c r="L319" s="218" t="str">
        <x:v>0–100 km/h (s)</x:v>
      </x:c>
      <x:c r="M319" s="218" t="n">
        <x:v>6.5</x:v>
      </x:c>
      <x:c r="N319" s="218" t="n">
        <x:v>7.1</x:v>
      </x:c>
      <x:c r="O319" s="218" t="n">
        <x:v>7.3</x:v>
      </x:c>
      <x:c r="P319" s="218" t="str">
        <x:v>X04/X07/X11. Manufacturer figures to 62.1 mph.</x:v>
      </x:c>
      <x:c r="Q319" s="290"/>
      <x:c r="R319" s="290"/>
      <x:c r="S319" s="290"/>
      <x:c r="T319" s="290"/>
    </x:row>
    <x:row r="320" ht="33" customHeight="1">
      <x:c r="L320" s="211" t="str">
        <x:v>Rated motor power (kW)</x:v>
      </x:c>
      <x:c r="M320" s="211" t="n">
        <x:v>180</x:v>
      </x:c>
      <x:c r="N320" s="211" t="n">
        <x:v>160</x:v>
      </x:c>
      <x:c r="O320" s="211" t="n">
        <x:v>150</x:v>
      </x:c>
      <x:c r="P320" s="288" t="str">
        <x:v>X04/X07/X11.</x:v>
      </x:c>
      <x:c r="Q320" s="289"/>
      <x:c r="R320" s="289"/>
      <x:c r="S320" s="289"/>
      <x:c r="T320" s="289"/>
    </x:row>
    <x:row r="321" ht="33" customHeight="1">
      <x:c r="L321" s="218" t="str">
        <x:v>Peak DC charging (kW)</x:v>
      </x:c>
      <x:c r="M321" s="218" t="n">
        <x:v>144</x:v>
      </x:c>
      <x:c r="N321" s="218" t="n">
        <x:v>100</x:v>
      </x:c>
      <x:c r="O321" s="218" t="n">
        <x:v>80</x:v>
      </x:c>
      <x:c r="P321" s="218" t="str">
        <x:v>X04/X08/X11. Geely uses the 60.22-kWh Australian reference.</x:v>
      </x:c>
      <x:c r="Q321" s="290"/>
      <x:c r="R321" s="290"/>
      <x:c r="S321" s="290"/>
      <x:c r="T321" s="290"/>
    </x:row>
    <x:row r="322" ht="33" customHeight="1">
      <x:c r="L322" s="211" t="str">
        <x:v>Published DC charge window</x:v>
      </x:c>
      <x:c r="M322" s="211" t="str">
        <x:v>38 min · 10–80%</x:v>
      </x:c>
      <x:c r="N322" s="211" t="str">
        <x:v>20 min · 30–80%</x:v>
      </x:c>
      <x:c r="O322" s="211" t="str">
        <x:v>30 min · 30–80%</x:v>
      </x:c>
      <x:c r="P322" s="288" t="str">
        <x:v>X04/X07/X11. The different charge windows prevent a direct time comparison.</x:v>
      </x:c>
      <x:c r="Q322" s="289"/>
      <x:c r="R322" s="289"/>
      <x:c r="S322" s="289"/>
      <x:c r="T322" s="289"/>
    </x:row>
    <x:row r="323">
      <x:c r="L323" s="211"/>
      <x:c r="M323" s="211"/>
      <x:c r="N323" s="211"/>
      <x:c r="O323" s="211"/>
      <x:c r="P323" s="211"/>
      <x:c r="Q323"/>
      <x:c r="R323"/>
      <x:c r="S323"/>
      <x:c r="T323"/>
    </x:row>
    <x:row r="324" ht="29" customHeight="1">
      <x:c r="L324" s="214" t="str">
        <x:v>Mexican prices and hypothetical U.S. incentives (USD unless marked MXN)</x:v>
      </x:c>
      <x:c r="M324" s="214"/>
      <x:c r="N324" s="214"/>
      <x:c r="O324" s="214"/>
      <x:c r="P324" s="214"/>
      <x:c r="Q324" s="286"/>
      <x:c r="R324" s="286"/>
      <x:c r="S324" s="286"/>
      <x:c r="T324" s="286"/>
    </x:row>
    <x:row r="325" ht="36" customHeight="1">
      <x:c r="L325" s="211" t="str">
        <x:v>Published exchange rate (MXN/USD)</x:v>
      </x:c>
      <x:c r="M325" s="220" t="n">
        <x:f>Evidence!D265</x:f>
        <x:v>18.7147</x:v>
      </x:c>
      <x:c r="N325" s="211"/>
      <x:c r="O325" s="211"/>
      <x:c r="P325" s="218" t="str">
        <x:v>X01. Banco de México, Nov. 6 Publicación DOF column.</x:v>
      </x:c>
      <x:c r="Q325" s="290"/>
      <x:c r="R325" s="290"/>
      <x:c r="S325" s="290"/>
      <x:c r="T325" s="290"/>
    </x:row>
    <x:row r="326" ht="36" customHeight="1">
      <x:c r="L326" s="218" t="str">
        <x:v>Mexican list price (MXN)</x:v>
      </x:c>
      <x:c r="M326" s="221" t="n">
        <x:f>Evidence!D266</x:f>
        <x:v>609000</x:v>
      </x:c>
      <x:c r="N326" s="221" t="n">
        <x:f>Evidence!D270</x:f>
        <x:v>699900</x:v>
      </x:c>
      <x:c r="O326" s="221" t="n">
        <x:f>Evidence!D274</x:f>
        <x:v>799000</x:v>
      </x:c>
      <x:c r="P326" s="288" t="str">
        <x:v>X02/X06/X10. Published starting list prices for these trims.</x:v>
      </x:c>
      <x:c r="Q326" s="289"/>
      <x:c r="R326" s="289"/>
      <x:c r="S326" s="289"/>
      <x:c r="T326" s="289"/>
    </x:row>
    <x:row r="327" ht="36" customHeight="1">
      <x:c r="L327" s="211" t="str">
        <x:v>Before U.S. incentives (USD)</x:v>
      </x:c>
      <x:c r="M327" s="222" t="n">
        <x:f>M326/$M$325</x:f>
        <x:v>32541.26435368988</x:v>
      </x:c>
      <x:c r="N327" s="222" t="n">
        <x:f>N326/$M$325</x:f>
        <x:v>37398.408737516496</x:v>
      </x:c>
      <x:c r="O327" s="222" t="n">
        <x:f>O326/$M$325</x:f>
        <x:v>42693.7113605882</x:v>
      </x:c>
      <x:c r="P327" s="218" t="str">
        <x:v>Mexican list price divided by the same exchange rate.</x:v>
      </x:c>
      <x:c r="Q327" s="290"/>
      <x:c r="R327" s="290"/>
      <x:c r="S327" s="290"/>
      <x:c r="T327" s="290"/>
    </x:row>
    <x:row r="328" ht="42" customHeight="1">
      <x:c r="L328" s="218" t="str">
        <x:v>After currently verified rebates (USD)</x:v>
      </x:c>
      <x:c r="M328" s="223" t="n">
        <x:f>M327-Evidence!$D$146</x:f>
        <x:v>32541.26435368988</x:v>
      </x:c>
      <x:c r="N328" s="223" t="n">
        <x:f>N327-Evidence!$D$146</x:f>
        <x:v>37398.408737516496</x:v>
      </x:c>
      <x:c r="O328" s="223" t="n">
        <x:f>O327-Evidence!$D$146</x:f>
        <x:v>42693.7113605882</x:v>
      </x:c>
      <x:c r="P328" s="288" t="str">
        <x:v>Zero verified awards. See Evidence P02, P05, P08–P14, P20 and P39, and the SJCE qualifying list.</x:v>
      </x:c>
      <x:c r="Q328" s="289"/>
      <x:c r="R328" s="289"/>
      <x:c r="S328" s="289"/>
      <x:c r="T328" s="289"/>
    </x:row>
    <x:row r="329" ht="36" customHeight="1">
      <x:c r="L329" s="211" t="str">
        <x:v>If eligible for SJCE only (USD)</x:v>
      </x:c>
      <x:c r="M329" s="222" t="n">
        <x:f>M328-Evidence!$D$155</x:f>
        <x:v>29541.26435368988</x:v>
      </x:c>
      <x:c r="N329" s="222" t="n">
        <x:f>N328-Evidence!$D$155</x:f>
        <x:v>34398.408737516496</x:v>
      </x:c>
      <x:c r="O329" s="222" t="n">
        <x:f>O328-Evidence!$D$155</x:f>
        <x:v>39693.7113605882</x:v>
      </x:c>
      <x:c r="P329" s="218" t="str">
        <x:v>Assumes eligible U.S. sale, qualifying model and dealer, SJCE service and available funding. P11–P13/P52.</x:v>
      </x:c>
      <x:c r="Q329" s="290"/>
      <x:c r="R329" s="290"/>
      <x:c r="S329" s="290"/>
      <x:c r="T329" s="290"/>
    </x:row>
    <x:row r="330" ht="55" customHeight="1">
      <x:c r="L330" s="218" t="str">
        <x:v>If eligible for SJCE and MyFirstEV (USD)</x:v>
      </x:c>
      <x:c r="M330" s="223" t="n">
        <x:f>M329-Evidence!$D$152</x:f>
        <x:v>26041.26435368988</x:v>
      </x:c>
      <x:c r="N330" s="223" t="n">
        <x:f>N329-Evidence!$D$152</x:f>
        <x:v>30898.408737516496</x:v>
      </x:c>
      <x:c r="O330" s="223" t="n">
        <x:f>O329-Evidence!$D$152</x:f>
        <x:v>36193.7113605882</x:v>
      </x:c>
      <x:c r="P330" s="288" t="str">
        <x:v>Also assumes a participating manufacturer and eligible model year. MG4 MY2025 needs a 2026+ successor at the same price or a rule change. P08–P10/P14/P39.</x:v>
      </x:c>
      <x:c r="Q330" s="289"/>
      <x:c r="R330" s="289"/>
      <x:c r="S330" s="289"/>
      <x:c r="T330" s="289"/>
    </x:row>
    <x:row r="331" ht="36" customHeight="1">
      <x:c r="L331" s="211" t="str">
        <x:v>Advertised Mexican special (MXN)</x:v>
      </x:c>
      <x:c r="M331" s="224" t="n">
        <x:f>Evidence!D267</x:f>
        <x:v>519000</x:v>
      </x:c>
      <x:c r="N331" s="222"/>
      <x:c r="O331" s="222"/>
      <x:c r="P331" s="218" t="str">
        <x:v>X03. Starting offer for MG4 MY2025. Availability and terms may vary.</x:v>
      </x:c>
      <x:c r="Q331" s="290"/>
      <x:c r="R331" s="290"/>
      <x:c r="S331" s="290"/>
      <x:c r="T331" s="290"/>
    </x:row>
    <x:row r="332" ht="36" customHeight="1">
      <x:c r="L332" s="218" t="str">
        <x:v>Special converted, before rebates (USD)</x:v>
      </x:c>
      <x:c r="M332" s="223" t="n">
        <x:f>M331/$M$325</x:f>
        <x:v>27732.21050831699</x:v>
      </x:c>
      <x:c r="N332" s="223"/>
      <x:c r="O332" s="223"/>
      <x:c r="P332" s="288" t="str">
        <x:v>Promo sensitivity only. Converts the advertised starting offer.</x:v>
      </x:c>
      <x:c r="Q332" s="289"/>
      <x:c r="R332" s="289"/>
      <x:c r="S332" s="289"/>
      <x:c r="T332" s="289"/>
    </x:row>
    <x:row r="333" ht="36" customHeight="1">
      <x:c r="L333" s="211" t="str">
        <x:v>Special after hypothetical SJCE (USD)</x:v>
      </x:c>
      <x:c r="M333" s="222" t="n">
        <x:f>M332-Evidence!$D$155</x:f>
        <x:v>24732.21050831699</x:v>
      </x:c>
      <x:c r="N333" s="222"/>
      <x:c r="O333" s="222"/>
      <x:c r="P333" s="218" t="str">
        <x:v>Assumes the same promotional price and city eligibility.</x:v>
      </x:c>
      <x:c r="Q333" s="290"/>
      <x:c r="R333" s="290"/>
      <x:c r="S333" s="290"/>
      <x:c r="T333" s="290"/>
    </x:row>
    <x:row r="334" ht="36" customHeight="1">
      <x:c r="L334" s="218" t="str">
        <x:v>Special after both hypothetical rebates (USD)</x:v>
      </x:c>
      <x:c r="M334" s="223" t="n">
        <x:f>M333-Evidence!$D$152</x:f>
        <x:v>21232.21050831699</x:v>
      </x:c>
      <x:c r="N334" s="223"/>
      <x:c r="O334" s="223"/>
      <x:c r="P334" s="288" t="str">
        <x:v>Requires the promotional price plus both programs. Illustrative upper bound only.</x:v>
      </x:c>
      <x:c r="Q334" s="289"/>
      <x:c r="R334" s="289"/>
      <x:c r="S334" s="289"/>
      <x:c r="T334" s="289"/>
    </x:row>
    <x:row r="335" ht="36" customHeight="1">
      <x:c r="L335" s="211" t="str">
        <x:v>2027 Bolt Part 2 net benchmark (USD)</x:v>
      </x:c>
      <x:c r="M335" s="226" t="n">
        <x:f>'Part 2 Incentives'!M16</x:f>
        <x:v>22495</x:v>
      </x:c>
      <x:c r="N335" s="222"/>
      <x:c r="O335" s="222"/>
      <x:c r="P335" s="218" t="str">
        <x:v>Links to the workbook's list-price scenario after both rebates.</x:v>
      </x:c>
      <x:c r="Q335" s="290"/>
      <x:c r="R335" s="290"/>
      <x:c r="S335" s="290"/>
      <x:c r="T335" s="290"/>
    </x:row>
    <x:row r="336" ht="36" customHeight="1">
      <x:c r="L336" s="218" t="str">
        <x:v>Bolt advertised VIN scenario (USD)</x:v>
      </x:c>
      <x:c r="M336" s="223" t="n">
        <x:f>'Part 2 Best Value'!C19</x:f>
        <x:v>21245</x:v>
      </x:c>
      <x:c r="N336" s="223"/>
      <x:c r="O336" s="223"/>
      <x:c r="P336" s="288" t="str">
        <x:v>Links to the separate conditional Bolt dealer-discount scenario.</x:v>
      </x:c>
      <x:c r="Q336" s="289"/>
      <x:c r="R336" s="289"/>
      <x:c r="S336" s="289"/>
      <x:c r="T336" s="289"/>
    </x:row>
    <x:row r="337">
      <x:c r="L337" s="211"/>
      <x:c r="M337" s="211"/>
      <x:c r="N337" s="211"/>
      <x:c r="O337" s="211"/>
      <x:c r="P337" s="211"/>
      <x:c r="Q337"/>
      <x:c r="R337"/>
      <x:c r="S337"/>
      <x:c r="T337"/>
    </x:row>
    <x:row r="338" ht="28" customHeight="1">
      <x:c r="L338" s="214" t="str">
        <x:v>Best value at published Mexican sticker prices</x:v>
      </x:c>
      <x:c r="M338" s="214"/>
      <x:c r="N338" s="214"/>
      <x:c r="O338" s="214"/>
      <x:c r="P338" s="214"/>
      <x:c r="Q338" s="286"/>
      <x:c r="R338" s="286"/>
      <x:c r="S338" s="286"/>
      <x:c r="T338" s="286"/>
    </x:row>
    <x:row r="339" ht="35" customHeight="1">
      <x:c r="L339" s="211" t="str">
        <x:v>The Bolt leads at Mexican list prices and sampled South American sticker-price averages. Compare the country means in L361:T363 and the Chile before-VAT prices in L380:T382.</x:v>
      </x:c>
      <x:c r="M339" s="211"/>
      <x:c r="N339" s="211"/>
      <x:c r="O339" s="211"/>
      <x:c r="P339" s="211"/>
      <x:c r="Q339" s="29"/>
      <x:c r="R339" s="29"/>
      <x:c r="S339" s="29"/>
      <x:c r="T339" s="29"/>
    </x:row>
    <x:row r="340" ht="42" customHeight="1">
      <x:c r="L340" s="211" t="str">
        <x:v>The MG4's advertised special would convert to $27,732. It would still cost $24,732 with the city rebate alone. At $21,232 with both rebates it would beat the Bolt list-price case by $1,263, but beat the Bolt dealer-discount case by only $13. That result depends on carrying over the Mexican promotion and obtaining state eligibility that the advertised 2025 trim lacks.</x:v>
      </x:c>
      <x:c r="M340" s="211"/>
      <x:c r="N340" s="211"/>
      <x:c r="O340" s="211"/>
      <x:c r="P340" s="211"/>
      <x:c r="Q340" s="29"/>
      <x:c r="R340" s="29"/>
      <x:c r="S340" s="29"/>
      <x:c r="T340" s="29"/>
    </x:row>
    <x:row r="341">
      <x:c r="L341"/>
      <x:c r="M341"/>
      <x:c r="N341"/>
      <x:c r="O341"/>
      <x:c r="P341"/>
      <x:c r="Q341"/>
      <x:c r="R341"/>
      <x:c r="S341"/>
      <x:c r="T341"/>
    </x:row>
    <x:row r="342">
      <x:c r="L342"/>
      <x:c r="M342"/>
      <x:c r="N342"/>
      <x:c r="O342"/>
      <x:c r="P342"/>
      <x:c r="Q342"/>
      <x:c r="R342"/>
      <x:c r="S342"/>
      <x:c r="T342"/>
    </x:row>
    <x:row r="343">
      <x:c r="L343"/>
      <x:c r="M343"/>
      <x:c r="N343"/>
      <x:c r="O343"/>
      <x:c r="P343"/>
      <x:c r="Q343"/>
      <x:c r="R343"/>
      <x:c r="S343"/>
      <x:c r="T343"/>
    </x:row>
    <x:row r="344">
      <x:c r="L344" s="229"/>
      <x:c r="M344" s="229"/>
      <x:c r="N344" s="229"/>
      <x:c r="O344" s="229"/>
      <x:c r="P344" s="229"/>
      <x:c r="Q344" s="229"/>
      <x:c r="R344" s="229"/>
      <x:c r="S344" s="229"/>
      <x:c r="T344" s="229"/>
    </x:row>
    <x:row r="345" ht="32" customHeight="1">
      <x:c r="L345" s="215" t="str">
        <x:v>South American country prices, averages and tax comparison</x:v>
      </x:c>
      <x:c r="M345" s="214"/>
      <x:c r="N345" s="214"/>
      <x:c r="O345" s="214"/>
      <x:c r="P345" s="214"/>
      <x:c r="Q345" s="214"/>
      <x:c r="R345" s="214"/>
      <x:c r="S345" s="214"/>
      <x:c r="T345" s="214"/>
    </x:row>
    <x:row r="346" ht="30" customHeight="1">
      <x:c r="L346" s="229" t="str">
        <x:v>Each sampled country receives equal weight within its model's average. Mexico remains a separate comparison. These are published retail prices as of November 6, 2026.</x:v>
      </x:c>
      <x:c r="M346" s="229"/>
      <x:c r="N346" s="229"/>
      <x:c r="O346" s="229"/>
      <x:c r="P346" s="229"/>
      <x:c r="Q346" s="229"/>
      <x:c r="R346" s="229"/>
      <x:c r="S346" s="229"/>
      <x:c r="T346" s="229"/>
    </x:row>
    <x:row r="347" ht="30" customHeight="1">
      <x:c r="L347" s="229" t="str">
        <x:v>Match by model and battery size. Local equipment, model years, taxes and range claims can differ. Use published list or regular starting prices, and keep discounts separate.</x:v>
      </x:c>
      <x:c r="M347" s="229"/>
      <x:c r="N347" s="229"/>
      <x:c r="O347" s="229"/>
      <x:c r="P347" s="229"/>
      <x:c r="Q347" s="229"/>
      <x:c r="R347" s="229"/>
      <x:c r="S347" s="229"/>
      <x:c r="T347" s="229"/>
    </x:row>
    <x:row r="348">
      <x:c r="L348" s="229"/>
      <x:c r="M348" s="229"/>
      <x:c r="N348" s="229"/>
      <x:c r="O348" s="229"/>
      <x:c r="P348" s="229"/>
      <x:c r="Q348" s="229"/>
      <x:c r="R348" s="229"/>
      <x:c r="S348" s="229"/>
      <x:c r="T348" s="229"/>
    </x:row>
    <x:row r="349" ht="40" customHeight="1">
      <x:c r="L349" s="214" t="str">
        <x:v>Model</x:v>
      </x:c>
      <x:c r="M349" s="214" t="str">
        <x:v>Market</x:v>
      </x:c>
      <x:c r="N349" s="214" t="str">
        <x:v>Matched local trim</x:v>
      </x:c>
      <x:c r="O349" s="214" t="str">
        <x:v>Currency</x:v>
      </x:c>
      <x:c r="P349" s="214" t="str">
        <x:v>Local price</x:v>
      </x:c>
      <x:c r="Q349" s="214" t="str">
        <x:v>Units per USD</x:v>
      </x:c>
      <x:c r="R349" s="214" t="str">
        <x:v>Before rebates (USD)</x:v>
      </x:c>
      <x:c r="S349" s="214" t="str">
        <x:v>If both eligible (USD)</x:v>
      </x:c>
      <x:c r="T349" s="214" t="str">
        <x:v>Evidence and price basis</x:v>
      </x:c>
    </x:row>
    <x:row r="350" ht="39" customHeight="1">
      <x:c r="L350" s="229" t="str">
        <x:v>MG4 Extended Range</x:v>
      </x:c>
      <x:c r="M350" s="229" t="str">
        <x:v>Chile</x:v>
      </x:c>
      <x:c r="N350" s="229" t="str">
        <x:v>Deluxe LR · 77 kWh</x:v>
      </x:c>
      <x:c r="O350" s="229" t="str">
        <x:v>CLP</x:v>
      </x:c>
      <x:c r="P350" s="234" t="n">
        <x:f>Evidence!D280</x:f>
        <x:v>31990000</x:v>
      </x:c>
      <x:c r="Q350" s="235" t="n">
        <x:f>Evidence!D278</x:f>
        <x:v>970.94</x:v>
      </x:c>
      <x:c r="R350" s="236" t="n">
        <x:f>P350/Q350</x:f>
        <x:v>32947.45298370651</x:v>
      </x:c>
      <x:c r="S350" s="236" t="n">
        <x:f>R350-Evidence!$D$155-Evidence!$D$152</x:f>
        <x:v>26447.452983706513</x:v>
      </x:c>
      <x:c r="T350" s="229" t="str">
        <x:v>S03/S01. Manufacturer list. Excludes financing and brand offers.</x:v>
      </x:c>
    </x:row>
    <x:row r="351" ht="39" customHeight="1">
      <x:c r="L351" s="266" t="str">
        <x:v>MG4 Extended Range</x:v>
      </x:c>
      <x:c r="M351" s="266" t="str">
        <x:v>Uruguay</x:v>
      </x:c>
      <x:c r="N351" s="266" t="str">
        <x:v>Extended Range · 77 kWh</x:v>
      </x:c>
      <x:c r="O351" s="266" t="str">
        <x:v>USD</x:v>
      </x:c>
      <x:c r="P351" s="267" t="n">
        <x:f>Evidence!D281</x:f>
        <x:v>37900</x:v>
      </x:c>
      <x:c r="Q351" s="268" t="n">
        <x:f>1</x:f>
        <x:v>1</x:v>
      </x:c>
      <x:c r="R351" s="269" t="n">
        <x:f>P351/Q351</x:f>
        <x:v>37900</x:v>
      </x:c>
      <x:c r="S351" s="269" t="n">
        <x:f>R351-Evidence!$D$155-Evidence!$D$152</x:f>
        <x:v>31400</x:v>
      </x:c>
      <x:c r="T351" s="266" t="str">
        <x:v>S04. Official distributor price. Alternate $34,900 guide reference tested below.</x:v>
      </x:c>
    </x:row>
    <x:row r="352" ht="39" customHeight="1">
      <x:c r="L352" s="229" t="str">
        <x:v>Geely EX5</x:v>
      </x:c>
      <x:c r="M352" s="229" t="str">
        <x:v>Chile</x:v>
      </x:c>
      <x:c r="N352" s="229" t="str">
        <x:v>Pro · 60.22 kWh</x:v>
      </x:c>
      <x:c r="O352" s="229" t="str">
        <x:v>CLP</x:v>
      </x:c>
      <x:c r="P352" s="234" t="n">
        <x:f>Evidence!D282</x:f>
        <x:v>30990000</x:v>
      </x:c>
      <x:c r="Q352" s="235" t="n">
        <x:f>Evidence!D278</x:f>
        <x:v>970.94</x:v>
      </x:c>
      <x:c r="R352" s="236" t="n">
        <x:f>P352/Q352</x:f>
        <x:v>31917.523224916058</x:v>
      </x:c>
      <x:c r="S352" s="236" t="n">
        <x:f>R352-Evidence!$D$155-Evidence!$D$152</x:f>
        <x:v>25417.523224916058</x:v>
      </x:c>
      <x:c r="T352" s="229" t="str">
        <x:v>S05/S06/S01. List price before local discounts.</x:v>
      </x:c>
    </x:row>
    <x:row r="353" ht="39" customHeight="1">
      <x:c r="L353" s="266" t="str">
        <x:v>Geely EX5</x:v>
      </x:c>
      <x:c r="M353" s="266" t="str">
        <x:v>Uruguay</x:v>
      </x:c>
      <x:c r="N353" s="266" t="str">
        <x:v>Pro · 60.22 kWh</x:v>
      </x:c>
      <x:c r="O353" s="266" t="str">
        <x:v>USD</x:v>
      </x:c>
      <x:c r="P353" s="267" t="n">
        <x:f>Evidence!D284</x:f>
        <x:v>31990</x:v>
      </x:c>
      <x:c r="Q353" s="268" t="n">
        <x:f>1</x:f>
        <x:v>1</x:v>
      </x:c>
      <x:c r="R353" s="269" t="n">
        <x:f>P353/Q353</x:f>
        <x:v>31990</x:v>
      </x:c>
      <x:c r="S353" s="269" t="n">
        <x:f>R353-Evidence!$D$155-Evidence!$D$152</x:f>
        <x:v>25490</x:v>
      </x:c>
      <x:c r="T353" s="266" t="str">
        <x:v>S07/S08. Local new-car guide and importer specification.</x:v>
      </x:c>
    </x:row>
    <x:row r="354" ht="39" customHeight="1">
      <x:c r="L354" s="229" t="str">
        <x:v>Geely EX5</x:v>
      </x:c>
      <x:c r="M354" s="229" t="str">
        <x:v>Colombia</x:v>
      </x:c>
      <x:c r="N354" s="229" t="str">
        <x:v>Pro · 60.22 kWh</x:v>
      </x:c>
      <x:c r="O354" s="229" t="str">
        <x:v>COP</x:v>
      </x:c>
      <x:c r="P354" s="234" t="n">
        <x:f>Evidence!D286</x:f>
        <x:v>109990000</x:v>
      </x:c>
      <x:c r="Q354" s="235" t="n">
        <x:f>Evidence!D279</x:f>
        <x:v>3228.26</x:v>
      </x:c>
      <x:c r="R354" s="236" t="n">
        <x:f>P354/Q354</x:f>
        <x:v>34070.98560834629</x:v>
      </x:c>
      <x:c r="S354" s="236" t="n">
        <x:f>R354-Evidence!$D$155-Evidence!$D$152</x:f>
        <x:v>27570.985608346287</x:v>
      </x:c>
      <x:c r="T354" s="229" t="str">
        <x:v>S09/S10/S02. Advertised Pro starting price. No November quote obtained.</x:v>
      </x:c>
    </x:row>
    <x:row r="355" ht="39" customHeight="1">
      <x:c r="L355" s="266" t="str">
        <x:v>Geely EX5</x:v>
      </x:c>
      <x:c r="M355" s="266" t="str">
        <x:v>Ecuador</x:v>
      </x:c>
      <x:c r="N355" s="266" t="str">
        <x:v>Pro · 60.22 kWh</x:v>
      </x:c>
      <x:c r="O355" s="266" t="str">
        <x:v>USD</x:v>
      </x:c>
      <x:c r="P355" s="267" t="n">
        <x:f>Evidence!D288</x:f>
        <x:v>27490</x:v>
      </x:c>
      <x:c r="Q355" s="268" t="n">
        <x:f>1</x:f>
        <x:v>1</x:v>
      </x:c>
      <x:c r="R355" s="269" t="n">
        <x:f>P355/Q355</x:f>
        <x:v>27490</x:v>
      </x:c>
      <x:c r="S355" s="269" t="n">
        <x:f>R355-Evidence!$D$155-Evidence!$D$152</x:f>
        <x:v>20990</x:v>
      </x:c>
      <x:c r="T355" s="266" t="str">
        <x:v>S11. Manufacturer's Pro starting price.</x:v>
      </x:c>
    </x:row>
    <x:row r="356" ht="39" customHeight="1">
      <x:c r="L356" s="229" t="str">
        <x:v>BYD Yuan Plus</x:v>
      </x:c>
      <x:c r="M356" s="229" t="str">
        <x:v>Chile</x:v>
      </x:c>
      <x:c r="N356" s="229" t="str">
        <x:v>GS · 60.48 kWh</x:v>
      </x:c>
      <x:c r="O356" s="229" t="str">
        <x:v>CLP</x:v>
      </x:c>
      <x:c r="P356" s="234" t="n">
        <x:f>Evidence!D289</x:f>
        <x:v>25490000</x:v>
      </x:c>
      <x:c r="Q356" s="235" t="n">
        <x:f>Evidence!D278</x:f>
        <x:v>970.94</x:v>
      </x:c>
      <x:c r="R356" s="236" t="n">
        <x:f>P356/Q356</x:f>
        <x:v>26252.90955156858</x:v>
      </x:c>
      <x:c r="S356" s="236" t="n">
        <x:f>R356-Evidence!$D$155-Evidence!$D$152</x:f>
        <x:v>19752.90955156858</x:v>
      </x:c>
      <x:c r="T356" s="229" t="str">
        <x:v>S12/S13/S01. Astara listing of a new 2027 GS.</x:v>
      </x:c>
    </x:row>
    <x:row r="357" ht="39" customHeight="1">
      <x:c r="L357" s="266" t="str">
        <x:v>BYD Yuan Plus</x:v>
      </x:c>
      <x:c r="M357" s="266" t="str">
        <x:v>Uruguay</x:v>
      </x:c>
      <x:c r="N357" s="266" t="str">
        <x:v>EV480 Luxury · 60.48 kWh</x:v>
      </x:c>
      <x:c r="O357" s="266" t="str">
        <x:v>USD</x:v>
      </x:c>
      <x:c r="P357" s="267" t="n">
        <x:f>Evidence!D291</x:f>
        <x:v>31990</x:v>
      </x:c>
      <x:c r="Q357" s="268" t="n">
        <x:f>1</x:f>
        <x:v>1</x:v>
      </x:c>
      <x:c r="R357" s="269" t="n">
        <x:f>P357/Q357</x:f>
        <x:v>31990</x:v>
      </x:c>
      <x:c r="S357" s="269" t="n">
        <x:f>R357-Evidence!$D$155-Evidence!$D$152</x:f>
        <x:v>25490</x:v>
      </x:c>
      <x:c r="T357" s="266" t="str">
        <x:v>S14. Local new-car guide. Matches the 480-km version.</x:v>
      </x:c>
    </x:row>
    <x:row r="358">
      <x:c r="L358" s="229"/>
      <x:c r="M358" s="229"/>
      <x:c r="N358" s="229"/>
      <x:c r="O358" s="229"/>
      <x:c r="P358" s="229"/>
      <x:c r="Q358" s="229"/>
      <x:c r="R358" s="229"/>
      <x:c r="S358" s="229"/>
      <x:c r="T358" s="229"/>
    </x:row>
    <x:row r="359" ht="30" customHeight="1">
      <x:c r="L359" s="214" t="str">
        <x:v>Published sticker-price averages versus Mexico and the Bolt</x:v>
      </x:c>
      <x:c r="M359" s="214"/>
      <x:c r="N359" s="214"/>
      <x:c r="O359" s="214"/>
      <x:c r="P359" s="214"/>
      <x:c r="Q359" s="214"/>
      <x:c r="R359" s="214"/>
      <x:c r="S359" s="214"/>
      <x:c r="T359" s="214"/>
    </x:row>
    <x:row r="360" ht="42" customHeight="1">
      <x:c r="L360" s="214" t="str">
        <x:v>Model</x:v>
      </x:c>
      <x:c r="M360" s="214" t="str">
        <x:v>Countries</x:v>
      </x:c>
      <x:c r="N360" s="214" t="str">
        <x:v>Mexico before rebates</x:v>
      </x:c>
      <x:c r="O360" s="214" t="str">
        <x:v>South American average</x:v>
      </x:c>
      <x:c r="P360" s="214" t="str">
        <x:v>Difference vs Mexico</x:v>
      </x:c>
      <x:c r="Q360" s="214" t="str">
        <x:v>City-only average</x:v>
      </x:c>
      <x:c r="R360" s="214" t="str">
        <x:v>Both-rebate average</x:v>
      </x:c>
      <x:c r="S360" s="214" t="str">
        <x:v>Gap vs Bolt net</x:v>
      </x:c>
      <x:c r="T360" s="214" t="str">
        <x:v>Coverage</x:v>
      </x:c>
    </x:row>
    <x:row r="361" ht="39" customHeight="1">
      <x:c r="L361" s="229" t="str">
        <x:v>MG4 Extended Range</x:v>
      </x:c>
      <x:c r="M361" s="229" t="n">
        <x:f>COUNT(R350:R351)</x:f>
        <x:v>2</x:v>
      </x:c>
      <x:c r="N361" s="237" t="n">
        <x:f>'Evidence'!M327</x:f>
        <x:v>32541.26435368988</x:v>
      </x:c>
      <x:c r="O361" s="237" t="n">
        <x:f>AVERAGE(R350:R351)</x:f>
        <x:v>35423.72649185326</x:v>
      </x:c>
      <x:c r="P361" s="237" t="n">
        <x:f>O361-N361</x:f>
        <x:v>2882.4621381633806</x:v>
      </x:c>
      <x:c r="Q361" s="237" t="n">
        <x:f>O361-Evidence!$D$155</x:f>
        <x:v>32423.72649185326</x:v>
      </x:c>
      <x:c r="R361" s="270" t="n">
        <x:f>O361-Evidence!$D$155-Evidence!$D$152</x:f>
        <x:v>28923.72649185326</x:v>
      </x:c>
      <x:c r="S361" s="237" t="n">
        <x:f>R361-$R$364</x:f>
        <x:v>6428.72649185326</x:v>
      </x:c>
      <x:c r="T361" s="229" t="str">
        <x:v>Chile and Uruguay</x:v>
      </x:c>
    </x:row>
    <x:row r="362" ht="39" customHeight="1">
      <x:c r="L362" s="266" t="str">
        <x:v>Geely EX5</x:v>
      </x:c>
      <x:c r="M362" s="266" t="n">
        <x:f>COUNT(R352:R355)</x:f>
        <x:v>4</x:v>
      </x:c>
      <x:c r="N362" s="271" t="n">
        <x:f>'Evidence'!N327</x:f>
        <x:v>37398.408737516496</x:v>
      </x:c>
      <x:c r="O362" s="271" t="n">
        <x:f>AVERAGE(R352:R355)</x:f>
        <x:v>31367.127208315585</x:v>
      </x:c>
      <x:c r="P362" s="271" t="n">
        <x:f>O362-N362</x:f>
        <x:v>-6031.281529200911</x:v>
      </x:c>
      <x:c r="Q362" s="271" t="n">
        <x:f>O362-Evidence!$D$155</x:f>
        <x:v>28367.127208315585</x:v>
      </x:c>
      <x:c r="R362" s="271" t="n">
        <x:f>O362-Evidence!$D$155-Evidence!$D$152</x:f>
        <x:v>24867.127208315585</x:v>
      </x:c>
      <x:c r="S362" s="271" t="n">
        <x:f>R362-$R$364</x:f>
        <x:v>2372.1272083155854</x:v>
      </x:c>
      <x:c r="T362" s="266" t="str">
        <x:v>Chile, Uruguay, Colombia and Ecuador</x:v>
      </x:c>
    </x:row>
    <x:row r="363" ht="39" customHeight="1">
      <x:c r="L363" s="229" t="str">
        <x:v>BYD Yuan Plus</x:v>
      </x:c>
      <x:c r="M363" s="229" t="n">
        <x:f>COUNT(R356:R357)</x:f>
        <x:v>2</x:v>
      </x:c>
      <x:c r="N363" s="237" t="n">
        <x:f>'Evidence'!O327</x:f>
        <x:v>42693.7113605882</x:v>
      </x:c>
      <x:c r="O363" s="237" t="n">
        <x:f>AVERAGE(R356:R357)</x:f>
        <x:v>29121.45477578429</x:v>
      </x:c>
      <x:c r="P363" s="237" t="n">
        <x:f>O363-N363</x:f>
        <x:v>-13572.256584803908</x:v>
      </x:c>
      <x:c r="Q363" s="237" t="n">
        <x:f>O363-Evidence!$D$155</x:f>
        <x:v>26121.45477578429</x:v>
      </x:c>
      <x:c r="R363" s="270" t="n">
        <x:f>O363-Evidence!$D$155-Evidence!$D$152</x:f>
        <x:v>22621.45477578429</x:v>
      </x:c>
      <x:c r="S363" s="237" t="n">
        <x:f>R363-$R$364</x:f>
        <x:v>126.45477578428836</x:v>
      </x:c>
      <x:c r="T363" s="229" t="str">
        <x:v>Chile and Uruguay</x:v>
      </x:c>
    </x:row>
    <x:row r="364" ht="39" customHeight="1">
      <x:c r="L364" s="272" t="str">
        <x:v>Bolt Part 2 net benchmark</x:v>
      </x:c>
      <x:c r="M364" s="272"/>
      <x:c r="N364" s="270"/>
      <x:c r="O364" s="270"/>
      <x:c r="P364" s="270"/>
      <x:c r="Q364" s="270"/>
      <x:c r="R364" s="270" t="n">
        <x:f>'Part 2 Incentives'!M16</x:f>
        <x:v>22495</x:v>
      </x:c>
      <x:c r="S364" s="270"/>
      <x:c r="T364" s="272" t="str">
        <x:v>Includes both modeled rebates. Same pre-tax purchase-price basis.</x:v>
      </x:c>
    </x:row>
    <x:row r="365">
      <x:c r="L365" s="229"/>
      <x:c r="M365" s="229"/>
      <x:c r="N365" s="229"/>
      <x:c r="O365" s="229"/>
      <x:c r="P365" s="229"/>
      <x:c r="Q365" s="229"/>
      <x:c r="R365" s="229"/>
      <x:c r="S365" s="229"/>
      <x:c r="T365" s="229"/>
    </x:row>
    <x:row r="366" ht="28" customHeight="1">
      <x:c r="L366" s="214" t="str">
        <x:v>Price sensitivities excluded from the averages</x:v>
      </x:c>
      <x:c r="M366" s="214"/>
      <x:c r="N366" s="214"/>
      <x:c r="O366" s="214"/>
      <x:c r="P366" s="214"/>
      <x:c r="Q366" s="214"/>
      <x:c r="R366" s="214"/>
      <x:c r="S366" s="214"/>
      <x:c r="T366" s="214"/>
    </x:row>
    <x:row r="367" ht="38" customHeight="1">
      <x:c r="L367" s="214" t="str">
        <x:v>Model</x:v>
      </x:c>
      <x:c r="M367" s="214" t="str">
        <x:v>Market</x:v>
      </x:c>
      <x:c r="N367" s="214" t="str">
        <x:v>Price basis</x:v>
      </x:c>
      <x:c r="O367" s="214" t="str">
        <x:v>Currency</x:v>
      </x:c>
      <x:c r="P367" s="214" t="str">
        <x:v>Local price</x:v>
      </x:c>
      <x:c r="Q367" s="214" t="str">
        <x:v>Units per USD</x:v>
      </x:c>
      <x:c r="R367" s="214" t="str">
        <x:v>Before rebates (USD)</x:v>
      </x:c>
      <x:c r="S367" s="214" t="str">
        <x:v>If both eligible (USD)</x:v>
      </x:c>
      <x:c r="T367" s="214" t="str">
        <x:v>Evidence and conditions</x:v>
      </x:c>
    </x:row>
    <x:row r="368" ht="45" customHeight="1">
      <x:c r="L368" s="229" t="str">
        <x:v>MG4 Extended Range</x:v>
      </x:c>
      <x:c r="M368" s="229" t="str">
        <x:v>Chile</x:v>
      </x:c>
      <x:c r="N368" s="229" t="str">
        <x:v>Any-payment offer</x:v>
      </x:c>
      <x:c r="O368" s="229" t="str">
        <x:v>CLP</x:v>
      </x:c>
      <x:c r="P368" s="234" t="n">
        <x:f>Evidence!D293</x:f>
        <x:v>25990000</x:v>
      </x:c>
      <x:c r="Q368" s="235" t="n">
        <x:f>Evidence!D278</x:f>
        <x:v>970.94</x:v>
      </x:c>
      <x:c r="R368" s="236" t="n">
        <x:f>P368/Q368</x:f>
        <x:v>26767.874430963806</x:v>
      </x:c>
      <x:c r="S368" s="236" t="n">
        <x:f>R368-Evidence!$D$155-Evidence!$D$152</x:f>
        <x:v>20267.874430963806</x:v>
      </x:c>
      <x:c r="T368" s="229" t="str">
        <x:v>S16/S01. Brand bonus through Nov. 30. Excludes additional financing rebate.</x:v>
      </x:c>
    </x:row>
    <x:row r="369" ht="45" customHeight="1">
      <x:c r="L369" s="266" t="str">
        <x:v>MG4 Extended Range</x:v>
      </x:c>
      <x:c r="M369" s="266" t="str">
        <x:v>Uruguay</x:v>
      </x:c>
      <x:c r="N369" s="266" t="str">
        <x:v>Lower guide reference</x:v>
      </x:c>
      <x:c r="O369" s="266" t="str">
        <x:v>USD</x:v>
      </x:c>
      <x:c r="P369" s="267" t="n">
        <x:f>Evidence!D292</x:f>
        <x:v>34900</x:v>
      </x:c>
      <x:c r="Q369" s="268" t="n">
        <x:f>1</x:f>
        <x:v>1</x:v>
      </x:c>
      <x:c r="R369" s="269" t="n">
        <x:f>P369/Q369</x:f>
        <x:v>34900</x:v>
      </x:c>
      <x:c r="S369" s="269" t="n">
        <x:f>R369-Evidence!$D$155-Evidence!$D$152</x:f>
        <x:v>28400</x:v>
      </x:c>
      <x:c r="T369" s="266" t="str">
        <x:v>S15. Alternative to the distributor price. Using it lowers the two-country MG4 average by $1,500.</x:v>
      </x:c>
    </x:row>
    <x:row r="370">
      <x:c r="L370" s="229"/>
      <x:c r="M370" s="229"/>
      <x:c r="N370" s="229"/>
      <x:c r="O370" s="229"/>
      <x:c r="P370" s="229"/>
      <x:c r="Q370" s="229"/>
      <x:c r="R370" s="229"/>
      <x:c r="S370" s="229"/>
      <x:c r="T370" s="229"/>
    </x:row>
    <x:row r="371" ht="28" customHeight="1">
      <x:c r="L371" s="214" t="str">
        <x:v>What changes for the best-value decision?</x:v>
      </x:c>
      <x:c r="M371" s="214"/>
      <x:c r="N371" s="214"/>
      <x:c r="O371" s="214"/>
      <x:c r="P371" s="214"/>
      <x:c r="Q371" s="214"/>
      <x:c r="R371" s="214"/>
      <x:c r="S371" s="214"/>
      <x:c r="T371" s="214"/>
    </x:row>
    <x:row r="372" ht="53" customHeight="1">
      <x:c r="L372" s="229" t="str">
        <x:v>On published sticker prices, the Bolt leads the sample averages at $22,495 and the BYD is within $126. The sticker-price averages can include local tax. The Chile check below removes documented VAT and changes the result under equal incentives.</x:v>
      </x:c>
      <x:c r="M372" s="229"/>
      <x:c r="N372" s="229"/>
      <x:c r="O372" s="229"/>
      <x:c r="P372" s="229"/>
      <x:c r="Q372" s="229"/>
      <x:c r="R372" s="229"/>
      <x:c r="S372" s="229"/>
      <x:c r="T372" s="229"/>
    </x:row>
    <x:row r="373" ht="60" customHeight="1">
      <x:c r="L373" s="229" t="str">
        <x:v>Individual prices can flip the result in the hypothetical two-rebate case. Chile's BYD would be $19,753 and Ecuador's Geely would be $20,990. With the city rebate alone, they would be $23,253 and $24,490, respectively, so the Bolt still leads. The Chilean MG4 brand offer could also beat the Bolt with both rebates, at $20,268.</x:v>
      </x:c>
      <x:c r="M373" s="229"/>
      <x:c r="N373" s="229"/>
      <x:c r="O373" s="229"/>
      <x:c r="P373" s="229"/>
      <x:c r="Q373" s="229"/>
      <x:c r="R373" s="229"/>
      <x:c r="S373" s="229"/>
      <x:c r="T373" s="229"/>
    </x:row>
    <x:row r="374" ht="58" customHeight="1">
      <x:c r="L374" s="229" t="str">
        <x:v>The U.S. scenarios assume a qualifying U.S. model and dealer, available program funds, and household eligibility. MyFirstEV also requires a participating manufacturer and model year 2026 or newer. This comparison converts advertised retail prices as published. Local tax treatment may differ. Excludes U.S. taxes, fees, import costs and financing.</x:v>
      </x:c>
      <x:c r="M374" s="229"/>
      <x:c r="N374" s="229"/>
      <x:c r="O374" s="229"/>
      <x:c r="P374" s="229"/>
      <x:c r="Q374" s="229"/>
      <x:c r="R374" s="229"/>
      <x:c r="S374" s="229"/>
      <x:c r="T374" s="229"/>
    </x:row>
    <x:row r="375" ht="31" customHeight="1">
      <x:c r="L375" s="229" t="str">
        <x:v>Sources S01–S24 are on Evidence rows 278–301. Incentive rules are in P08–P14 and P39. Each sample describes the markets shown.</x:v>
      </x:c>
      <x:c r="M375" s="229"/>
      <x:c r="N375" s="229"/>
      <x:c r="O375" s="229"/>
      <x:c r="P375" s="229"/>
      <x:c r="Q375" s="229"/>
      <x:c r="R375" s="229"/>
      <x:c r="S375" s="229"/>
      <x:c r="T375" s="229"/>
    </x:row>
    <x:row r="376" ht="36" customHeight="1">
      <x:c r="L376" s="229" t="str">
        <x:v>Catalog cross-checks: Autos Eléctricos, Cathay EV, Evtern and Autoblog Uruguay. A missing price, stale reference or different battery was excluded. See S15 and S17–S20 for examples.</x:v>
      </x:c>
      <x:c r="M376" s="229"/>
      <x:c r="N376" s="229"/>
      <x:c r="O376" s="229"/>
      <x:c r="P376" s="229"/>
      <x:c r="Q376" s="229"/>
      <x:c r="R376" s="229"/>
      <x:c r="S376" s="229"/>
      <x:c r="T376" s="229"/>
    </x:row>
    <x:row r="377">
      <x:c r="L377" s="229"/>
      <x:c r="M377" s="229"/>
      <x:c r="N377" s="229"/>
      <x:c r="O377" s="229"/>
      <x:c r="P377" s="229"/>
      <x:c r="Q377" s="229"/>
      <x:c r="R377" s="229"/>
      <x:c r="S377" s="229"/>
      <x:c r="T377" s="229"/>
    </x:row>
    <x:row r="378" ht="30" customHeight="1">
      <x:c r="L378" s="214" t="str">
        <x:v>Tax-basis check  |  Chilean prices before local VAT versus the pre-tax Bolt</x:v>
      </x:c>
      <x:c r="M378" s="214"/>
      <x:c r="N378" s="214"/>
      <x:c r="O378" s="214"/>
      <x:c r="P378" s="214"/>
      <x:c r="Q378" s="214"/>
      <x:c r="R378" s="214"/>
      <x:c r="S378" s="214"/>
      <x:c r="T378" s="214"/>
    </x:row>
    <x:row r="379" ht="38" customHeight="1">
      <x:c r="L379" s="214" t="str">
        <x:v>Model / trim</x:v>
      </x:c>
      <x:c r="M379" s="214" t="str">
        <x:v>Battery kWh</x:v>
      </x:c>
      <x:c r="N379" s="214" t="str">
        <x:v>Sticker USD</x:v>
      </x:c>
      <x:c r="O379" s="214" t="str">
        <x:v>VAT rate</x:v>
      </x:c>
      <x:c r="P379" s="214" t="str">
        <x:v>Before VAT (USD)</x:v>
      </x:c>
      <x:c r="Q379" s="214" t="str">
        <x:v>City-only net</x:v>
      </x:c>
      <x:c r="R379" s="214" t="str">
        <x:v>Both rebates net</x:v>
      </x:c>
      <x:c r="S379" s="214" t="str">
        <x:v>Gap vs Bolt</x:v>
      </x:c>
      <x:c r="T379" s="214" t="str">
        <x:v>Evidence / basis</x:v>
      </x:c>
    </x:row>
    <x:row r="380" ht="43" customHeight="1">
      <x:c r="L380" s="229" t="str">
        <x:v>MG4 Extended Range</x:v>
      </x:c>
      <x:c r="M380" s="229" t="n">
        <x:v>77</x:v>
      </x:c>
      <x:c r="N380" s="236" t="n">
        <x:f>R350</x:f>
        <x:v>32947.45298370651</x:v>
      </x:c>
      <x:c r="O380" s="250" t="n">
        <x:f>Evidence!$D$298</x:f>
        <x:v>0.19</x:v>
      </x:c>
      <x:c r="P380" s="237" t="n">
        <x:f>N380/(1+O380)</x:f>
        <x:v>27686.93528042564</x:v>
      </x:c>
      <x:c r="Q380" s="237" t="n">
        <x:f>P380-Evidence!$D$155</x:f>
        <x:v>24686.93528042564</x:v>
      </x:c>
      <x:c r="R380" s="270" t="n">
        <x:f>Q380-Evidence!$D$152</x:f>
        <x:v>21186.93528042564</x:v>
      </x:c>
      <x:c r="S380" s="237" t="n">
        <x:f>R380-$R$364</x:f>
        <x:v>-1308.0647195743586</x:v>
      </x:c>
      <x:c r="T380" s="229" t="str">
        <x:v>S03/S21/S22. Same 77 kWh trim as the main sample.</x:v>
      </x:c>
    </x:row>
    <x:row r="381" ht="43" customHeight="1">
      <x:c r="L381" s="266" t="str">
        <x:v>BYD Yuan Plus GS</x:v>
      </x:c>
      <x:c r="M381" s="266" t="n">
        <x:v>60.48</x:v>
      </x:c>
      <x:c r="N381" s="269" t="n">
        <x:f>R356</x:f>
        <x:v>26252.90955156858</x:v>
      </x:c>
      <x:c r="O381" s="273" t="n">
        <x:f>Evidence!$D$298</x:f>
        <x:v>0.19</x:v>
      </x:c>
      <x:c r="P381" s="271" t="n">
        <x:f>N381/(1+O381)</x:f>
        <x:v>22061.2685307299</x:v>
      </x:c>
      <x:c r="Q381" s="271" t="n">
        <x:f>P381-Evidence!$D$155</x:f>
        <x:v>19061.2685307299</x:v>
      </x:c>
      <x:c r="R381" s="270" t="n">
        <x:f>Q381-Evidence!$D$152</x:f>
        <x:v>15561.2685307299</x:v>
      </x:c>
      <x:c r="S381" s="271" t="n">
        <x:f>R381-$R$364</x:f>
        <x:v>-6933.7314692701</x:v>
      </x:c>
      <x:c r="T381" s="266" t="str">
        <x:v>S12/S13/S21/S23. New 2027 Chilean GS.</x:v>
      </x:c>
    </x:row>
    <x:row r="382" ht="43" customHeight="1">
      <x:c r="L382" s="229" t="str">
        <x:v>MG4 Standard</x:v>
      </x:c>
      <x:c r="M382" s="229" t="n">
        <x:v>51</x:v>
      </x:c>
      <x:c r="N382" s="236" t="n">
        <x:f>Evidence!D301/Evidence!D278</x:f>
        <x:v>27797.804189754257</x:v>
      </x:c>
      <x:c r="O382" s="250" t="n">
        <x:f>Evidence!$D$298</x:f>
        <x:v>0.19</x:v>
      </x:c>
      <x:c r="P382" s="237" t="n">
        <x:f>N382/(1+O382)</x:f>
        <x:v>23359.499319121227</x:v>
      </x:c>
      <x:c r="Q382" s="237" t="n">
        <x:f>P382-Evidence!$D$155</x:f>
        <x:v>20359.499319121227</x:v>
      </x:c>
      <x:c r="R382" s="270" t="n">
        <x:f>Q382-Evidence!$D$152</x:f>
        <x:v>16859.499319121227</x:v>
      </x:c>
      <x:c r="S382" s="237" t="n">
        <x:f>R382-$R$364</x:f>
        <x:v>-5635.500680878773</x:v>
      </x:c>
      <x:c r="T382" s="229" t="str">
        <x:v>S21/S22/S24. Separate lower-range trim sensitivity. 350 km WLTP.</x:v>
      </x:c>
    </x:row>
    <x:row r="383">
      <x:c r="L383" s="229"/>
      <x:c r="M383" s="229"/>
      <x:c r="N383" s="229"/>
      <x:c r="O383" s="229"/>
      <x:c r="P383" s="229"/>
      <x:c r="Q383" s="229"/>
      <x:c r="R383" s="229"/>
      <x:c r="S383" s="229"/>
      <x:c r="T383" s="229"/>
    </x:row>
    <x:row r="384" ht="53" customHeight="1">
      <x:c r="L384" s="229" t="str">
        <x:v>On the same pre-tax basis and with the same hypothetical rebates, the Chilean MG4 Extended Range is about $21,187 and the BYD Yuan Plus GS is about $15,561. Both beat the Bolt's $22,495. The 51 kWh MG4 Standard is about $16,859, with less rated range than the 77 kWh version.</x:v>
      </x:c>
      <x:c r="M384" s="229"/>
      <x:c r="N384" s="229"/>
      <x:c r="O384" s="229"/>
      <x:c r="P384" s="229"/>
      <x:c r="Q384" s="229"/>
      <x:c r="R384" s="229"/>
      <x:c r="S384" s="229"/>
      <x:c r="T384" s="229"/>
    </x:row>
    <x:row r="385" ht="49" customHeight="1">
      <x:c r="L385" s="229" t="str">
        <x:v>The 19% adjustment removes only documented Chilean VAT. It does not estimate a U.S. landed price or reverse foreign import duties, retail margins or taxes in the other sampled countries. The full regional averages above remain published sticker-price averages.</x:v>
      </x:c>
      <x:c r="M385" s="229"/>
      <x:c r="N385" s="229"/>
      <x:c r="O385" s="229"/>
      <x:c r="P385" s="229"/>
      <x:c r="Q385" s="229"/>
      <x:c r="R385" s="229"/>
      <x:c r="S385" s="229"/>
      <x:c r="T385" s="229"/>
    </x:row>
    <x:row r="386" ht="49" customHeight="1">
      <x:c r="L386" s="229" t="str">
        <x:v>The comparison assumes both California and San José programs accept the U.S. seller and vehicle. For MG4 that includes a model year of 2026 or newer. Equal rebates reduce prices by the same dollar amount, so the ranking follows the pre-rebate, pre-tax prices.</x:v>
      </x:c>
      <x:c r="M386" s="229"/>
      <x:c r="N386" s="229"/>
      <x:c r="O386" s="229"/>
      <x:c r="P386" s="229"/>
      <x:c r="Q386" s="229"/>
      <x:c r="R386" s="229"/>
      <x:c r="S386" s="229"/>
      <x:c r="T386" s="229"/>
    </x:row>
    <x:row r="387">
      <x:c r="L387" s="229"/>
      <x:c r="M387" s="229"/>
      <x:c r="N387" s="229"/>
      <x:c r="O387" s="229"/>
      <x:c r="P387" s="229"/>
      <x:c r="Q387" s="229"/>
      <x:c r="R387" s="229"/>
      <x:c r="S387" s="229"/>
      <x:c r="T387" s="229"/>
    </x:row>
    <x:row r="388">
      <x:c r="L388" s="229"/>
      <x:c r="M388" s="229"/>
      <x:c r="N388" s="229"/>
      <x:c r="O388" s="229"/>
      <x:c r="P388" s="229"/>
      <x:c r="Q388" s="229"/>
      <x:c r="R388" s="229"/>
      <x:c r="S388" s="229"/>
      <x:c r="T388" s="229"/>
    </x:row>
  </x:sheetData>
  <x:mergeCells>
    <x:mergeCell ref="L305:T305"/>
    <x:mergeCell ref="L306:T306"/>
    <x:mergeCell ref="L307:T307"/>
    <x:mergeCell ref="L324:T324"/>
    <x:mergeCell ref="L338:T338"/>
    <x:mergeCell ref="L339:T339"/>
    <x:mergeCell ref="L340:T340"/>
    <x:mergeCell ref="L345:T345"/>
    <x:mergeCell ref="L346:T346"/>
    <x:mergeCell ref="L347:T347"/>
    <x:mergeCell ref="L359:T359"/>
    <x:mergeCell ref="L366:T366"/>
    <x:mergeCell ref="L371:T371"/>
    <x:mergeCell ref="L372:T372"/>
    <x:mergeCell ref="L373:T373"/>
    <x:mergeCell ref="L374:T374"/>
    <x:mergeCell ref="L375:T375"/>
    <x:mergeCell ref="L376:T376"/>
    <x:mergeCell ref="L378:T378"/>
    <x:mergeCell ref="L384:T384"/>
    <x:mergeCell ref="L385:T385"/>
    <x:mergeCell ref="L386:T386"/>
    <x:mergeCell ref="P309:T309"/>
    <x:mergeCell ref="P310:T310"/>
    <x:mergeCell ref="P311:T311"/>
    <x:mergeCell ref="P312:T312"/>
    <x:mergeCell ref="P313:T313"/>
    <x:mergeCell ref="P314:T314"/>
    <x:mergeCell ref="P315:T315"/>
    <x:mergeCell ref="P316:T316"/>
    <x:mergeCell ref="P317:T317"/>
    <x:mergeCell ref="P318:T318"/>
    <x:mergeCell ref="P319:T319"/>
    <x:mergeCell ref="P320:T320"/>
    <x:mergeCell ref="P321:T321"/>
    <x:mergeCell ref="P322:T322"/>
    <x:mergeCell ref="P325:T325"/>
    <x:mergeCell ref="P326:T326"/>
    <x:mergeCell ref="P327:T327"/>
    <x:mergeCell ref="P328:T328"/>
    <x:mergeCell ref="P329:T329"/>
    <x:mergeCell ref="P330:T330"/>
    <x:mergeCell ref="P331:T331"/>
    <x:mergeCell ref="P332:T332"/>
    <x:mergeCell ref="P333:T333"/>
    <x:mergeCell ref="P334:T334"/>
    <x:mergeCell ref="P335:T335"/>
    <x:mergeCell ref="P336:T33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12.5" hidden="0" customWidth="1"/>
    <x:col min="3" max="3" width="16.8799991607666" hidden="0" customWidth="1"/>
    <x:col min="4" max="4" width="7.5" hidden="0" customWidth="1"/>
    <x:col min="5" max="5" width="26.8799991607666" hidden="0" customWidth="1"/>
    <x:col min="6" max="6" width="11" hidden="0" customWidth="1"/>
    <x:col min="7" max="7" width="11" hidden="0" customWidth="1"/>
    <x:col min="8" max="8" width="13.5" hidden="0" customWidth="1"/>
    <x:col min="9" max="9" width="11.630000114440918" hidden="0" customWidth="1"/>
    <x:col min="10" max="10" width="11.25" hidden="0" customWidth="1"/>
    <x:col min="11" max="11" width="10.630000114440918" hidden="0" customWidth="1"/>
    <x:col min="12" max="12" width="16.25" hidden="0" customWidth="1"/>
    <x:col min="13" max="13" width="7.5" hidden="0" customWidth="1"/>
    <x:col min="14" max="14" width="11.5" hidden="0" customWidth="1"/>
    <x:col min="15" max="15" width="13.75" hidden="0" customWidth="1"/>
    <x:col min="16" max="16" width="14.880000114440918" hidden="0" customWidth="1"/>
    <x:col min="17" max="17" width="41.25" hidden="0" customWidth="1"/>
    <x:col min="18" max="18" width="41.25" hidden="0" customWidth="1"/>
    <x:col min="19" max="19" width="41.25" hidden="0" customWidth="1"/>
    <x:col min="20" max="20" width="41.25" hidden="0" customWidth="1"/>
    <x:col min="21" max="21" width="35.630001068115234" hidden="0" customWidth="1"/>
  </x:cols>
  <x:sheetData>
    <x:row r="2" ht="26" customHeight="1">
      <x:c r="A2" s="6" t="str">
        <x:v>Part 1   Candidate screening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</x:row>
    <x:row r="3">
      <x:c r="A3" s="4" t="str">
        <x:v>EV Compare snapshot · 2026-09-02 · 154 configurations · 20 priority models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>
      <x:c r="A4" s="4" t="str">
        <x:v>Initial 2026+ priority screen uses selected EPA size classes and up to two rows. Older model years can qualify if sold new. See Price Screen.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</x:row>
    <x:row r="5">
      <x:c r="A5" s="4" t="str">
        <x:v>Pick the longest EPA range listed per eligible model. Ties go to the lowest MSRP. Priority rows are sorted by MSRP.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</x:row>
    <x:row r="6">
      <x:c r="A6" s="4" t="str">
        <x:v>* Imported figures are research leads. Confirm battery basis, tested trim, and peak charging with the original sources.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</x:row>
    <x:row r="7">
      <x:c r="A7" s="4" t="str">
        <x:v>https://evcompare.org/data/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</x:row>
    <x:row r="8" ht="33" customHeight="1">
      <x:c r="A8" s="27" t="str">
        <x:v>Screening status</x:v>
      </x:c>
      <x:c r="B8" s="27" t="str">
        <x:v>Make</x:v>
      </x:c>
      <x:c r="C8" s="27" t="str">
        <x:v>Model</x:v>
      </x:c>
      <x:c r="D8" s="27" t="str">
        <x:v>Year</x:v>
      </x:c>
      <x:c r="E8" s="27" t="str">
        <x:v>Trim / drive</x:v>
      </x:c>
      <x:c r="F8" s="27" t="str">
        <x:v>MSRP ($)</x:v>
      </x:c>
      <x:c r="G8" s="27" t="str">
        <x:v>EPA range (mi)</x:v>
      </x:c>
      <x:c r="H8" s="27" t="str">
        <x:v>Usable battery (kWh)*</x:v>
      </x:c>
      <x:c r="I8" s="27" t="str">
        <x:v>0–60 mph (s)*</x:v>
      </x:c>
      <x:c r="J8" s="27" t="str">
        <x:v>Peak DC (kW)*</x:v>
      </x:c>
      <x:c r="K8" s="27" t="str">
        <x:v>Body style</x:v>
      </x:c>
      <x:c r="L8" s="27" t="str">
        <x:v>EPA size class</x:v>
      </x:c>
      <x:c r="M8" s="27" t="str">
        <x:v>Seats</x:v>
      </x:c>
      <x:c r="N8" s="27" t="str">
        <x:v>Rear cargo (ft³)</x:v>
      </x:c>
      <x:c r="O8" s="27" t="str">
        <x:v>On sale (source)</x:v>
      </x:c>
      <x:c r="P8" s="27" t="str">
        <x:v>Verified by dataset</x:v>
      </x:c>
      <x:c r="Q8" s="27" t="str">
        <x:v>Dataset record URL</x:v>
      </x:c>
      <x:c r="R8" s="27" t="str">
        <x:v>Manufacturer URL</x:v>
      </x:c>
      <x:c r="S8" s="27" t="str">
        <x:v>EPA / range URL</x:v>
      </x:c>
      <x:c r="T8" s="27" t="str">
        <x:v>Review URL</x:v>
      </x:c>
      <x:c r="U8" s="27" t="str">
        <x:v>Dataset ID</x:v>
      </x:c>
    </x:row>
    <x:row r="9">
      <x:c r="A9" s="28" t="str">
        <x:v>Specs sourced · see Vehicles</x:v>
      </x:c>
      <x:c r="B9" s="4" t="str">
        <x:v>Chevrolet</x:v>
      </x:c>
      <x:c r="C9" s="4" t="str">
        <x:v>Bolt</x:v>
      </x:c>
      <x:c r="D9" s="4" t="n">
        <x:v>2027</x:v>
      </x:c>
      <x:c r="E9" s="4" t="str">
        <x:v>LT</x:v>
      </x:c>
      <x:c r="F9" s="17" t="n">
        <x:v>28995</x:v>
      </x:c>
      <x:c r="G9" s="4" t="n">
        <x:v>262</x:v>
      </x:c>
      <x:c r="H9" s="4" t="n">
        <x:v>65</x:v>
      </x:c>
      <x:c r="I9" s="20" t="n">
        <x:v>6.8</x:v>
      </x:c>
      <x:c r="J9" s="4" t="n">
        <x:v>150</x:v>
      </x:c>
      <x:c r="K9" s="4" t="str">
        <x:v>Hatchback</x:v>
      </x:c>
      <x:c r="L9" s="4" t="str">
        <x:v>Small Wagon</x:v>
      </x:c>
      <x:c r="M9" s="4" t="n">
        <x:v>5</x:v>
      </x:c>
      <x:c r="N9" s="4" t="n">
        <x:v>16.2</x:v>
      </x:c>
      <x:c r="O9" s="4"/>
      <x:c r="P9" s="4" t="str">
        <x:v>2026-08-28</x:v>
      </x:c>
      <x:c r="Q9" s="4" t="str">
        <x:v>https://evcompare.org/2027/bolt/lt/</x:v>
      </x:c>
      <x:c r="R9" s="4" t="str">
        <x:v>https://www.chevrolet.com/electric/bolt-ev</x:v>
      </x:c>
      <x:c r="S9" s="4" t="str">
        <x:v>https://www.fueleconomy.gov/feg/Find.do?action=sbs&amp;id=50372</x:v>
      </x:c>
      <x:c r="T9" s="4" t="str">
        <x:v>https://electrek.co/2026/03/09/2027-chevy-bolt-review-whys-this-great-budget-ev-only-here-for-a-limited-time/</x:v>
      </x:c>
      <x:c r="U9" s="4" t="str">
        <x:v>chevrolet-bolt-2027-lt</x:v>
      </x:c>
    </x:row>
    <x:row r="10">
      <x:c r="A10" s="28" t="str">
        <x:v>Included · 0–60 estimate E140</x:v>
      </x:c>
      <x:c r="B10" s="4" t="str">
        <x:v>Nissan</x:v>
      </x:c>
      <x:c r="C10" s="4" t="str">
        <x:v>Leaf</x:v>
      </x:c>
      <x:c r="D10" s="4" t="n">
        <x:v>2026</x:v>
      </x:c>
      <x:c r="E10" s="4" t="str">
        <x:v>S+ FWD</x:v>
      </x:c>
      <x:c r="F10" s="17" t="n">
        <x:v>29990</x:v>
      </x:c>
      <x:c r="G10" s="4" t="n">
        <x:v>303</x:v>
      </x:c>
      <x:c r="H10" s="4" t="n">
        <x:v>75</x:v>
      </x:c>
      <x:c r="I10" s="20" t="n">
        <x:v>7.2</x:v>
      </x:c>
      <x:c r="J10" s="4" t="n">
        <x:v>150</x:v>
      </x:c>
      <x:c r="K10" s="4" t="str">
        <x:v>Hatchback</x:v>
      </x:c>
      <x:c r="L10" s="4" t="str">
        <x:v>Small Wagon</x:v>
      </x:c>
      <x:c r="M10" s="4" t="n">
        <x:v>5</x:v>
      </x:c>
      <x:c r="N10" s="4" t="n">
        <x:v>20</x:v>
      </x:c>
      <x:c r="O10" s="4"/>
      <x:c r="P10" s="4" t="str">
        <x:v>2026-08-28</x:v>
      </x:c>
      <x:c r="Q10" s="4" t="str">
        <x:v>https://evcompare.org/2026/leaf/s-fwd/</x:v>
      </x:c>
      <x:c r="R10" s="4" t="str">
        <x:v>https://www.nissanusa.com/vehicles/electric-cars/leaf/specs-trims.html</x:v>
      </x:c>
      <x:c r="S10" s="4" t="str">
        <x:v>https://www.fueleconomy.gov/feg/Find.do?action=sbs&amp;id=49975</x:v>
      </x:c>
      <x:c r="T10" s="4" t="str">
        <x:v>https://www.edmunds.com/nissan/leaf/2026/features-specs/</x:v>
      </x:c>
      <x:c r="U10" s="4" t="str">
        <x:v>nissan-leaf-2026-s-plus-fwd</x:v>
      </x:c>
    </x:row>
    <x:row r="11">
      <x:c r="A11" s="28" t="str">
        <x:v>Priority · verify sources</x:v>
      </x:c>
      <x:c r="B11" s="4" t="str">
        <x:v>Chevrolet</x:v>
      </x:c>
      <x:c r="C11" s="4" t="str">
        <x:v>Equinox EV</x:v>
      </x:c>
      <x:c r="D11" s="4" t="n">
        <x:v>2026</x:v>
      </x:c>
      <x:c r="E11" s="4" t="str">
        <x:v>LT FWD</x:v>
      </x:c>
      <x:c r="F11" s="17" t="n">
        <x:v>34995</x:v>
      </x:c>
      <x:c r="G11" s="4" t="n">
        <x:v>319</x:v>
      </x:c>
      <x:c r="H11" s="4" t="n">
        <x:v>85</x:v>
      </x:c>
      <x:c r="I11" s="20" t="n">
        <x:v>7.7</x:v>
      </x:c>
      <x:c r="J11" s="4" t="n">
        <x:v>150</x:v>
      </x:c>
      <x:c r="K11" s="4" t="str">
        <x:v>SUV</x:v>
      </x:c>
      <x:c r="L11" s="4" t="str">
        <x:v>Small SUV</x:v>
      </x:c>
      <x:c r="M11" s="4" t="n">
        <x:v>5</x:v>
      </x:c>
      <x:c r="N11" s="4" t="n">
        <x:v>26.4</x:v>
      </x:c>
      <x:c r="O11" s="4"/>
      <x:c r="P11" s="4" t="str">
        <x:v>2026-08-21</x:v>
      </x:c>
      <x:c r="Q11" s="4" t="str">
        <x:v>https://evcompare.org/2026/equinox-ev/lt-fwd/</x:v>
      </x:c>
      <x:c r="R11" s="4" t="str">
        <x:v>https://www.chevrolet.com/electric/previous-year/equinox-ev</x:v>
      </x:c>
      <x:c r="S11" s="4" t="str">
        <x:v>https://www.fueleconomy.gov/feg/Find.do?action=sbs&amp;id=49953</x:v>
      </x:c>
      <x:c r="T11" s="4" t="str">
        <x:v>https://www.edmunds.com/chevrolet/equinox-ev/2026/features-specs/</x:v>
      </x:c>
      <x:c r="U11" s="4" t="str">
        <x:v>chevrolet-equinox-ev-2026-lt-fwd</x:v>
      </x:c>
    </x:row>
    <x:row r="12">
      <x:c r="A12" s="28" t="str">
        <x:v>Priority · missing specs</x:v>
      </x:c>
      <x:c r="B12" s="4" t="str">
        <x:v>Subaru</x:v>
      </x:c>
      <x:c r="C12" s="4" t="str">
        <x:v>Uncharted</x:v>
      </x:c>
      <x:c r="D12" s="4" t="n">
        <x:v>2026</x:v>
      </x:c>
      <x:c r="E12" s="4" t="str">
        <x:v>Premium</x:v>
      </x:c>
      <x:c r="F12" s="17" t="n">
        <x:v>34995</x:v>
      </x:c>
      <x:c r="G12" s="4" t="n">
        <x:v>308</x:v>
      </x:c>
      <x:c r="H12" s="4" t="n">
        <x:v>74.7</x:v>
      </x:c>
      <x:c r="I12" s="20"/>
      <x:c r="J12" s="4" t="n">
        <x:v>150</x:v>
      </x:c>
      <x:c r="K12" s="4" t="str">
        <x:v>SUV</x:v>
      </x:c>
      <x:c r="L12" s="4" t="str">
        <x:v>Small SUV</x:v>
      </x:c>
      <x:c r="M12" s="4" t="n">
        <x:v>5</x:v>
      </x:c>
      <x:c r="N12" s="4" t="n">
        <x:v>23</x:v>
      </x:c>
      <x:c r="O12" s="4"/>
      <x:c r="P12" s="4" t="str">
        <x:v>2026-08-28</x:v>
      </x:c>
      <x:c r="Q12" s="4" t="str">
        <x:v>https://evcompare.org/2026/uncharted/premium/</x:v>
      </x:c>
      <x:c r="R12" s="4" t="str">
        <x:v>https://www.subaru.com/vehicles/uncharted/2026.html</x:v>
      </x:c>
      <x:c r="S12" s="4" t="str">
        <x:v>https://www.fueleconomy.gov/feg/Find.do?action=sbs&amp;id=50301</x:v>
      </x:c>
      <x:c r="T12" s="4" t="str">
        <x:v>https://www.edmunds.com/subaru/uncharted/</x:v>
      </x:c>
      <x:c r="U12" s="4" t="str">
        <x:v>subaru-uncharted-2026-premium</x:v>
      </x:c>
    </x:row>
    <x:row r="13">
      <x:c r="A13" s="28" t="str">
        <x:v>Priority · verify sources</x:v>
      </x:c>
      <x:c r="B13" s="4" t="str">
        <x:v>Tesla</x:v>
      </x:c>
      <x:c r="C13" s="4" t="str">
        <x:v>Model 3</x:v>
      </x:c>
      <x:c r="D13" s="4" t="n">
        <x:v>2026</x:v>
      </x:c>
      <x:c r="E13" s="4" t="str">
        <x:v>Standard RWD</x:v>
      </x:c>
      <x:c r="F13" s="17" t="n">
        <x:v>36990</x:v>
      </x:c>
      <x:c r="G13" s="4" t="n">
        <x:v>321</x:v>
      </x:c>
      <x:c r="H13" s="4" t="n">
        <x:v>60</x:v>
      </x:c>
      <x:c r="I13" s="20" t="n">
        <x:v>5.8</x:v>
      </x:c>
      <x:c r="J13" s="4" t="n">
        <x:v>170</x:v>
      </x:c>
      <x:c r="K13" s="4" t="str">
        <x:v>Sedan</x:v>
      </x:c>
      <x:c r="L13" s="4" t="str">
        <x:v>Midsize Car</x:v>
      </x:c>
      <x:c r="M13" s="4" t="n">
        <x:v>5</x:v>
      </x:c>
      <x:c r="N13" s="4" t="n">
        <x:v>15</x:v>
      </x:c>
      <x:c r="O13" s="4"/>
      <x:c r="P13" s="4" t="str">
        <x:v>2026-08-28</x:v>
      </x:c>
      <x:c r="Q13" s="4" t="str">
        <x:v>https://evcompare.org/2026/model-3/standard-rwd/</x:v>
      </x:c>
      <x:c r="R13" s="4" t="str">
        <x:v>https://www.tesla.com/model3/design</x:v>
      </x:c>
      <x:c r="S13" s="4" t="str">
        <x:v>https://www.fueleconomy.gov/feg/Find.do?action=sbs&amp;id=50251</x:v>
      </x:c>
      <x:c r="T13" s="4" t="str">
        <x:v>https://www.edmunds.com/tesla/model-3/2026/</x:v>
      </x:c>
      <x:c r="U13" s="4" t="str">
        <x:v>tesla-model-3-2026-standard-rwd</x:v>
      </x:c>
    </x:row>
    <x:row r="14">
      <x:c r="A14" s="28" t="str">
        <x:v>Priority · verify sources</x:v>
      </x:c>
      <x:c r="B14" s="4" t="str">
        <x:v>Chevrolet</x:v>
      </x:c>
      <x:c r="C14" s="4" t="str">
        <x:v>Blazer EV</x:v>
      </x:c>
      <x:c r="D14" s="4" t="n">
        <x:v>2026</x:v>
      </x:c>
      <x:c r="E14" s="4" t="str">
        <x:v>LT FWD</x:v>
      </x:c>
      <x:c r="F14" s="17" t="n">
        <x:v>44600</x:v>
      </x:c>
      <x:c r="G14" s="4" t="n">
        <x:v>312</x:v>
      </x:c>
      <x:c r="H14" s="4" t="n">
        <x:v>85</x:v>
      </x:c>
      <x:c r="I14" s="20" t="n">
        <x:v>8</x:v>
      </x:c>
      <x:c r="J14" s="4" t="n">
        <x:v>150</x:v>
      </x:c>
      <x:c r="K14" s="4" t="str">
        <x:v>SUV</x:v>
      </x:c>
      <x:c r="L14" s="4" t="str">
        <x:v>Small SUV</x:v>
      </x:c>
      <x:c r="M14" s="4" t="n">
        <x:v>5</x:v>
      </x:c>
      <x:c r="N14" s="4" t="n">
        <x:v>25.5</x:v>
      </x:c>
      <x:c r="O14" s="4"/>
      <x:c r="P14" s="4" t="str">
        <x:v>2026-08-21</x:v>
      </x:c>
      <x:c r="Q14" s="4" t="str">
        <x:v>https://evcompare.org/2026/blazer-ev/lt-fwd/</x:v>
      </x:c>
      <x:c r="R14" s="4" t="str">
        <x:v>https://www.chevrolet.com/electric/previous-year/blazer-ev</x:v>
      </x:c>
      <x:c r="S14" s="4" t="str">
        <x:v>https://www.fueleconomy.gov/feg/Find.do?action=sbs&amp;id=49644</x:v>
      </x:c>
      <x:c r="T14" s="4" t="str">
        <x:v>https://www.edmunds.com/chevrolet/blazer-ev/2026/features-specs/</x:v>
      </x:c>
      <x:c r="U14" s="4" t="str">
        <x:v>chevrolet-blazer-ev-2026-lt-fwd</x:v>
      </x:c>
    </x:row>
    <x:row r="15">
      <x:c r="A15" s="28" t="str">
        <x:v>Priority · verify sources</x:v>
      </x:c>
      <x:c r="B15" s="4" t="str">
        <x:v>Toyota</x:v>
      </x:c>
      <x:c r="C15" s="4" t="str">
        <x:v>bZ Woodland</x:v>
      </x:c>
      <x:c r="D15" s="4" t="n">
        <x:v>2026</x:v>
      </x:c>
      <x:c r="E15" s="4" t="str">
        <x:v>Woodland</x:v>
      </x:c>
      <x:c r="F15" s="17" t="n">
        <x:v>45300</x:v>
      </x:c>
      <x:c r="G15" s="4" t="n">
        <x:v>281</x:v>
      </x:c>
      <x:c r="H15" s="4" t="n">
        <x:v>74.7</x:v>
      </x:c>
      <x:c r="I15" s="20" t="n">
        <x:v>4.4</x:v>
      </x:c>
      <x:c r="J15" s="4" t="n">
        <x:v>150</x:v>
      </x:c>
      <x:c r="K15" s="4" t="str">
        <x:v>SUV</x:v>
      </x:c>
      <x:c r="L15" s="4" t="str">
        <x:v>Small SUV</x:v>
      </x:c>
      <x:c r="M15" s="4" t="n">
        <x:v>5</x:v>
      </x:c>
      <x:c r="N15" s="4"/>
      <x:c r="O15" s="4"/>
      <x:c r="P15" s="4" t="str">
        <x:v>2026-08-28</x:v>
      </x:c>
      <x:c r="Q15" s="4" t="str">
        <x:v>https://evcompare.org/2026/bz-woodland/woodland/</x:v>
      </x:c>
      <x:c r="R15" s="4" t="str">
        <x:v>https://www.toyota.com/bzwoodland/</x:v>
      </x:c>
      <x:c r="S15" s="4" t="str">
        <x:v>https://www.fueleconomy.gov/feg/Find.do?action=sbs&amp;id=50305</x:v>
      </x:c>
      <x:c r="T15" s="4" t="str">
        <x:v>https://insideevs.com/reviews/787449/toyota-bz-woodland-ev-review-2026/</x:v>
      </x:c>
      <x:c r="U15" s="4" t="str">
        <x:v>toyota-bz-woodland-2026-woodland</x:v>
      </x:c>
    </x:row>
    <x:row r="16">
      <x:c r="A16" s="28" t="str">
        <x:v>Priority · verify sources</x:v>
      </x:c>
      <x:c r="B16" s="4" t="str">
        <x:v>Toyota</x:v>
      </x:c>
      <x:c r="C16" s="4" t="str">
        <x:v>bZ</x:v>
      </x:c>
      <x:c r="D16" s="4" t="n">
        <x:v>2026</x:v>
      </x:c>
      <x:c r="E16" s="4" t="str">
        <x:v>Limited AWD</x:v>
      </x:c>
      <x:c r="F16" s="17" t="n">
        <x:v>46750</x:v>
      </x:c>
      <x:c r="G16" s="4" t="n">
        <x:v>278</x:v>
      </x:c>
      <x:c r="H16" s="4" t="n">
        <x:v>74.7</x:v>
      </x:c>
      <x:c r="I16" s="20" t="n">
        <x:v>4.9</x:v>
      </x:c>
      <x:c r="J16" s="4" t="n">
        <x:v>150</x:v>
      </x:c>
      <x:c r="K16" s="4" t="str">
        <x:v>SUV</x:v>
      </x:c>
      <x:c r="L16" s="4" t="str">
        <x:v>Small SUV</x:v>
      </x:c>
      <x:c r="M16" s="4" t="n">
        <x:v>5</x:v>
      </x:c>
      <x:c r="N16" s="4" t="n">
        <x:v>27.7</x:v>
      </x:c>
      <x:c r="O16" s="4"/>
      <x:c r="P16" s="4" t="str">
        <x:v>2026-08-28</x:v>
      </x:c>
      <x:c r="Q16" s="4" t="str">
        <x:v>https://evcompare.org/2026/bz/limited-awd/</x:v>
      </x:c>
      <x:c r="R16" s="4" t="str">
        <x:v>https://www.toyota.com/bz/</x:v>
      </x:c>
      <x:c r="S16" s="4" t="str">
        <x:v>https://www.fueleconomy.gov/feg/Find.do?action=sbs&amp;id=49986</x:v>
      </x:c>
      <x:c r="T16" s="4" t="str">
        <x:v>https://www.edmunds.com/toyota/bz/2026/features-specs/</x:v>
      </x:c>
      <x:c r="U16" s="4" t="str">
        <x:v>toyota-bz-2026-limited-awd</x:v>
      </x:c>
    </x:row>
    <x:row r="17">
      <x:c r="A17" s="28" t="str">
        <x:v>Priority · verify sources</x:v>
      </x:c>
      <x:c r="B17" s="4" t="str">
        <x:v>Mercedes-Benz</x:v>
      </x:c>
      <x:c r="C17" s="4" t="str">
        <x:v>CLA</x:v>
      </x:c>
      <x:c r="D17" s="4" t="n">
        <x:v>2026</x:v>
      </x:c>
      <x:c r="E17" s="4" t="str">
        <x:v>250+ w/EQ Technology</x:v>
      </x:c>
      <x:c r="F17" s="17" t="n">
        <x:v>47250</x:v>
      </x:c>
      <x:c r="G17" s="4" t="n">
        <x:v>374</x:v>
      </x:c>
      <x:c r="H17" s="4" t="n">
        <x:v>85</x:v>
      </x:c>
      <x:c r="I17" s="20" t="n">
        <x:v>6.6</x:v>
      </x:c>
      <x:c r="J17" s="4" t="n">
        <x:v>320</x:v>
      </x:c>
      <x:c r="K17" s="4" t="str">
        <x:v>Sedan</x:v>
      </x:c>
      <x:c r="L17" s="4" t="str">
        <x:v>Compact Car</x:v>
      </x:c>
      <x:c r="M17" s="4" t="n">
        <x:v>5</x:v>
      </x:c>
      <x:c r="N17" s="4" t="n">
        <x:v>14.3</x:v>
      </x:c>
      <x:c r="O17" s="4"/>
      <x:c r="P17" s="4" t="str">
        <x:v>2026-08-21</x:v>
      </x:c>
      <x:c r="Q17" s="4" t="str">
        <x:v>https://evcompare.org/2026/cla/250-w-eq-technology/</x:v>
      </x:c>
      <x:c r="R17" s="4" t="str">
        <x:v>https://www.mbusa.com/en/future-vehicles/2026-mercedes-benz-cla-sedan</x:v>
      </x:c>
      <x:c r="S17" s="4" t="str">
        <x:v>https://www.fueleconomy.gov/feg/Find.do?action=sbs&amp;id=50031</x:v>
      </x:c>
      <x:c r="T17" s="4" t="str">
        <x:v>https://www.edmunds.com/mercedes-benz/cla/2026/electric/</x:v>
      </x:c>
      <x:c r="U17" s="4" t="str">
        <x:v>mercedes-benz-cla-2026-250-plus</x:v>
      </x:c>
    </x:row>
    <x:row r="18">
      <x:c r="A18" s="28" t="str">
        <x:v>Priority · verify sources</x:v>
      </x:c>
      <x:c r="B18" s="4" t="str">
        <x:v>Lexus</x:v>
      </x:c>
      <x:c r="C18" s="4" t="str">
        <x:v>RZ</x:v>
      </x:c>
      <x:c r="D18" s="4" t="n">
        <x:v>2026</x:v>
      </x:c>
      <x:c r="E18" s="4" t="str">
        <x:v>350e FWD</x:v>
      </x:c>
      <x:c r="F18" s="17" t="n">
        <x:v>47395</x:v>
      </x:c>
      <x:c r="G18" s="4" t="n">
        <x:v>301</x:v>
      </x:c>
      <x:c r="H18" s="4" t="n">
        <x:v>74.69</x:v>
      </x:c>
      <x:c r="I18" s="20" t="n">
        <x:v>7.2</x:v>
      </x:c>
      <x:c r="J18" s="4" t="n">
        <x:v>150</x:v>
      </x:c>
      <x:c r="K18" s="4" t="str">
        <x:v>SUV</x:v>
      </x:c>
      <x:c r="L18" s="4" t="str">
        <x:v>Small SUV</x:v>
      </x:c>
      <x:c r="M18" s="4" t="n">
        <x:v>5</x:v>
      </x:c>
      <x:c r="N18" s="4" t="n">
        <x:v>34.1</x:v>
      </x:c>
      <x:c r="O18" s="4"/>
      <x:c r="P18" s="4" t="str">
        <x:v>2026-08-28</x:v>
      </x:c>
      <x:c r="Q18" s="4" t="str">
        <x:v>https://evcompare.org/2026/rz/350e-fwd/</x:v>
      </x:c>
      <x:c r="R18" s="4" t="str">
        <x:v>https://www.lexus.com/models/RZ</x:v>
      </x:c>
      <x:c r="S18" s="4" t="str">
        <x:v>https://www.fueleconomy.gov/feg/Find.do?action=sbs&amp;id=50291</x:v>
      </x:c>
      <x:c r="T18" s="4" t="str">
        <x:v>https://pressroom.lexus.com/2026-lexus-rz-adds-more-power-and-performance-2/</x:v>
      </x:c>
      <x:c r="U18" s="4" t="str">
        <x:v>lexus-rz-2026-350e-fwd</x:v>
      </x:c>
    </x:row>
    <x:row r="19">
      <x:c r="A19" s="28" t="str">
        <x:v>Priority · verify sources</x:v>
      </x:c>
      <x:c r="B19" s="4" t="str">
        <x:v>Lexus</x:v>
      </x:c>
      <x:c r="C19" s="4" t="str">
        <x:v>ES</x:v>
      </x:c>
      <x:c r="D19" s="4" t="n">
        <x:v>2027</x:v>
      </x:c>
      <x:c r="E19" s="4" t="str">
        <x:v>350e FWD</x:v>
      </x:c>
      <x:c r="F19" s="17" t="n">
        <x:v>47610</x:v>
      </x:c>
      <x:c r="G19" s="4" t="n">
        <x:v>307</x:v>
      </x:c>
      <x:c r="H19" s="4" t="n">
        <x:v>74.7</x:v>
      </x:c>
      <x:c r="I19" s="20" t="n">
        <x:v>7.4</x:v>
      </x:c>
      <x:c r="J19" s="4" t="n">
        <x:v>150</x:v>
      </x:c>
      <x:c r="K19" s="4" t="str">
        <x:v>Sedan</x:v>
      </x:c>
      <x:c r="L19" s="4" t="str">
        <x:v>Midsize Car</x:v>
      </x:c>
      <x:c r="M19" s="4" t="n">
        <x:v>5</x:v>
      </x:c>
      <x:c r="N19" s="4" t="n">
        <x:v>13.3</x:v>
      </x:c>
      <x:c r="O19" s="4" t="str">
        <x:v>2026-09</x:v>
      </x:c>
      <x:c r="P19" s="4" t="str">
        <x:v>2026-08-28</x:v>
      </x:c>
      <x:c r="Q19" s="4" t="str">
        <x:v>https://evcompare.org/2027/es/350e-fwd/</x:v>
      </x:c>
      <x:c r="R19" s="4" t="str">
        <x:v>https://pressroom.lexus.com/vehicle/2027-lexus-es-electric/</x:v>
      </x:c>
      <x:c r="S19" s="4" t="str">
        <x:v>https://www.fueleconomy.gov/feg/Find.do?action=sbs&amp;id=50450</x:v>
      </x:c>
      <x:c r="T19" s="4" t="str">
        <x:v>https://pressroom.lexus.com/2027-lexus-es-battery-electric-models-return-with-up-to-307-miles-of-epa-estimated-total-range/</x:v>
      </x:c>
      <x:c r="U19" s="4" t="str">
        <x:v>lexus-es-2027-350e-fwd</x:v>
      </x:c>
    </x:row>
    <x:row r="20">
      <x:c r="A20" s="28" t="str">
        <x:v>Priority · verify sources</x:v>
      </x:c>
      <x:c r="B20" s="4" t="str">
        <x:v>Ford</x:v>
      </x:c>
      <x:c r="C20" s="4" t="str">
        <x:v>Mustang Mach-E</x:v>
      </x:c>
      <x:c r="D20" s="4" t="n">
        <x:v>2026</x:v>
      </x:c>
      <x:c r="E20" s="4" t="str">
        <x:v>Premium AWD Extended Range</x:v>
      </x:c>
      <x:c r="F20" s="17" t="n">
        <x:v>48845</x:v>
      </x:c>
      <x:c r="G20" s="4" t="n">
        <x:v>300</x:v>
      </x:c>
      <x:c r="H20" s="4" t="n">
        <x:v>91</x:v>
      </x:c>
      <x:c r="I20" s="20" t="n">
        <x:v>4.8</x:v>
      </x:c>
      <x:c r="J20" s="4" t="n">
        <x:v>150</x:v>
      </x:c>
      <x:c r="K20" s="4" t="str">
        <x:v>SUV</x:v>
      </x:c>
      <x:c r="L20" s="4" t="str">
        <x:v>Small SUV</x:v>
      </x:c>
      <x:c r="M20" s="4" t="n">
        <x:v>5</x:v>
      </x:c>
      <x:c r="N20" s="4" t="n">
        <x:v>29.7</x:v>
      </x:c>
      <x:c r="O20" s="4"/>
      <x:c r="P20" s="4" t="str">
        <x:v>2026-08-28</x:v>
      </x:c>
      <x:c r="Q20" s="4" t="str">
        <x:v>https://evcompare.org/2026/mustang-mach-e/premium-awd-extended-range/</x:v>
      </x:c>
      <x:c r="R20" s="4" t="str">
        <x:v>https://www.ford.com/suvs/mach-e/models/premium/</x:v>
      </x:c>
      <x:c r="S20" s="4" t="str">
        <x:v>https://www.fueleconomy.gov/feg/Find.do?action=sbs&amp;id=50201</x:v>
      </x:c>
      <x:c r="T20" s="4" t="str">
        <x:v>https://www.edmunds.com/ford/mustang-mach-e/2026/trims/</x:v>
      </x:c>
      <x:c r="U20" s="4" t="str">
        <x:v>ford-mustang-mach-e-2026-premium-awd</x:v>
      </x:c>
    </x:row>
    <x:row r="21">
      <x:c r="A21" s="28" t="str">
        <x:v>Priority · verify sources</x:v>
      </x:c>
      <x:c r="B21" s="4" t="str">
        <x:v>Hyundai</x:v>
      </x:c>
      <x:c r="C21" s="4" t="str">
        <x:v>Ioniq 5</x:v>
      </x:c>
      <x:c r="D21" s="4" t="n">
        <x:v>2026</x:v>
      </x:c>
      <x:c r="E21" s="4" t="str">
        <x:v>Limited AWD</x:v>
      </x:c>
      <x:c r="F21" s="17" t="n">
        <x:v>48975</x:v>
      </x:c>
      <x:c r="G21" s="4" t="n">
        <x:v>269</x:v>
      </x:c>
      <x:c r="H21" s="4" t="n">
        <x:v>84</x:v>
      </x:c>
      <x:c r="I21" s="20" t="n">
        <x:v>4.6</x:v>
      </x:c>
      <x:c r="J21" s="4" t="n">
        <x:v>250</x:v>
      </x:c>
      <x:c r="K21" s="4" t="str">
        <x:v>SUV</x:v>
      </x:c>
      <x:c r="L21" s="4" t="str">
        <x:v>Small SUV</x:v>
      </x:c>
      <x:c r="M21" s="4" t="n">
        <x:v>5</x:v>
      </x:c>
      <x:c r="N21" s="4" t="n">
        <x:v>26.3</x:v>
      </x:c>
      <x:c r="O21" s="4"/>
      <x:c r="P21" s="4" t="str">
        <x:v>2026-08-21</x:v>
      </x:c>
      <x:c r="Q21" s="4" t="str">
        <x:v>https://evcompare.org/2026/ioniq-5/limited-awd/</x:v>
      </x:c>
      <x:c r="R21" s="4" t="str">
        <x:v>https://www.hyundaiusa.com/us/en/vehicles/ioniq-5/limited</x:v>
      </x:c>
      <x:c r="S21" s="4" t="str">
        <x:v>https://www.fueleconomy.gov/feg/Find.do?action=sbs&amp;id=49963</x:v>
      </x:c>
      <x:c r="T21" s="4" t="str">
        <x:v>https://cars.usnews.com/cars-trucks/hyundai/ioniq-5/specs/ioniq-5-limited-awd-474172</x:v>
      </x:c>
      <x:c r="U21" s="4" t="str">
        <x:v>hyundai-ioniq-5-2026-limited-awd</x:v>
      </x:c>
    </x:row>
    <x:row r="22">
      <x:c r="A22" s="28" t="str">
        <x:v>Priority · verify sources</x:v>
      </x:c>
      <x:c r="B22" s="4" t="str">
        <x:v>Tesla</x:v>
      </x:c>
      <x:c r="C22" s="4" t="str">
        <x:v>Model Y</x:v>
      </x:c>
      <x:c r="D22" s="4" t="n">
        <x:v>2026</x:v>
      </x:c>
      <x:c r="E22" s="4" t="str">
        <x:v>Premium AWD</x:v>
      </x:c>
      <x:c r="F22" s="17" t="n">
        <x:v>48990</x:v>
      </x:c>
      <x:c r="G22" s="4" t="n">
        <x:v>327</x:v>
      </x:c>
      <x:c r="H22" s="4" t="n">
        <x:v>78.4</x:v>
      </x:c>
      <x:c r="I22" s="20" t="n">
        <x:v>4.6</x:v>
      </x:c>
      <x:c r="J22" s="4" t="n">
        <x:v>250</x:v>
      </x:c>
      <x:c r="K22" s="4" t="str">
        <x:v>SUV</x:v>
      </x:c>
      <x:c r="L22" s="4" t="str">
        <x:v>Small SUV</x:v>
      </x:c>
      <x:c r="M22" s="4" t="n">
        <x:v>5</x:v>
      </x:c>
      <x:c r="N22" s="4" t="n">
        <x:v>34.4</x:v>
      </x:c>
      <x:c r="O22" s="4"/>
      <x:c r="P22" s="4" t="str">
        <x:v>2026-08-28</x:v>
      </x:c>
      <x:c r="Q22" s="4" t="str">
        <x:v>https://evcompare.org/2026/model-y/premium-awd/</x:v>
      </x:c>
      <x:c r="R22" s="4" t="str">
        <x:v>https://www.tesla.com/modely/design</x:v>
      </x:c>
      <x:c r="S22" s="4" t="str">
        <x:v>https://www.fueleconomy.gov/feg/Find.do?action=sbs&amp;id=49744</x:v>
      </x:c>
      <x:c r="T22" s="4" t="str">
        <x:v>https://www.caranddriver.com/tesla/model-y</x:v>
      </x:c>
      <x:c r="U22" s="4" t="str">
        <x:v>tesla-model-y-2026-premium-awd</x:v>
      </x:c>
    </x:row>
    <x:row r="23">
      <x:c r="A23" s="28" t="str">
        <x:v>Priority · verify sources</x:v>
      </x:c>
      <x:c r="B23" s="4" t="str">
        <x:v>Kia</x:v>
      </x:c>
      <x:c r="C23" s="4" t="str">
        <x:v>EV6</x:v>
      </x:c>
      <x:c r="D23" s="4" t="n">
        <x:v>2026</x:v>
      </x:c>
      <x:c r="E23" s="4" t="str">
        <x:v>GT-Line AWD</x:v>
      </x:c>
      <x:c r="F23" s="17" t="n">
        <x:v>53000</x:v>
      </x:c>
      <x:c r="G23" s="4" t="n">
        <x:v>270</x:v>
      </x:c>
      <x:c r="H23" s="4" t="n">
        <x:v>84</x:v>
      </x:c>
      <x:c r="I23" s="20" t="n">
        <x:v>5</x:v>
      </x:c>
      <x:c r="J23" s="4" t="n">
        <x:v>239</x:v>
      </x:c>
      <x:c r="K23" s="4" t="str">
        <x:v>SUV</x:v>
      </x:c>
      <x:c r="L23" s="4" t="str">
        <x:v>Small SUV</x:v>
      </x:c>
      <x:c r="M23" s="4" t="n">
        <x:v>5</x:v>
      </x:c>
      <x:c r="N23" s="4" t="n">
        <x:v>24.4</x:v>
      </x:c>
      <x:c r="O23" s="4"/>
      <x:c r="P23" s="4" t="str">
        <x:v>2026-08-28</x:v>
      </x:c>
      <x:c r="Q23" s="4" t="str">
        <x:v>https://evcompare.org/2026/ev6/gt-line-awd/</x:v>
      </x:c>
      <x:c r="R23" s="4" t="str">
        <x:v>https://www.kia.com/us/en/ev6/specs-compare</x:v>
      </x:c>
      <x:c r="S23" s="4" t="str">
        <x:v>https://www.fueleconomy.gov/feg/Find.do?action=sbs&amp;id=50213</x:v>
      </x:c>
      <x:c r="T23" s="4" t="str">
        <x:v>https://www.edmunds.com/car-news/2025-kia-ev6-gt-line-tested.html</x:v>
      </x:c>
      <x:c r="U23" s="4" t="str">
        <x:v>kia-ev6-2026-gt-line-awd</x:v>
      </x:c>
    </x:row>
    <x:row r="24">
      <x:c r="A24" s="28" t="str">
        <x:v>Priority · verify sources</x:v>
      </x:c>
      <x:c r="B24" s="4" t="str">
        <x:v>BMW</x:v>
      </x:c>
      <x:c r="C24" s="4" t="str">
        <x:v>i4</x:v>
      </x:c>
      <x:c r="D24" s="4" t="n">
        <x:v>2026</x:v>
      </x:c>
      <x:c r="E24" s="4" t="str">
        <x:v>eDrive40</x:v>
      </x:c>
      <x:c r="F24" s="17" t="n">
        <x:v>57900</x:v>
      </x:c>
      <x:c r="G24" s="4" t="n">
        <x:v>333</x:v>
      </x:c>
      <x:c r="H24" s="4" t="n">
        <x:v>81.2</x:v>
      </x:c>
      <x:c r="I24" s="20" t="n">
        <x:v>5.5</x:v>
      </x:c>
      <x:c r="J24" s="4" t="n">
        <x:v>205</x:v>
      </x:c>
      <x:c r="K24" s="4" t="str">
        <x:v>Hatchback</x:v>
      </x:c>
      <x:c r="L24" s="4" t="str">
        <x:v>Compact Car</x:v>
      </x:c>
      <x:c r="M24" s="4" t="n">
        <x:v>5</x:v>
      </x:c>
      <x:c r="N24" s="4" t="n">
        <x:v>16.6</x:v>
      </x:c>
      <x:c r="O24" s="4"/>
      <x:c r="P24" s="4" t="str">
        <x:v>2026-08-28</x:v>
      </x:c>
      <x:c r="Q24" s="4" t="str">
        <x:v>https://evcompare.org/2026/i4/edrive40/</x:v>
      </x:c>
      <x:c r="R24" s="4" t="str">
        <x:v>https://www.bmwusa.com/vehicles/bmw-i-series/i4/bmw-i4-gran-coupe.html</x:v>
      </x:c>
      <x:c r="S24" s="4" t="str">
        <x:v>https://www.fueleconomy.gov/feg/Find.do?action=sbs&amp;id=50188</x:v>
      </x:c>
      <x:c r="T24" s="4" t="str">
        <x:v>https://www.edmunds.com/bmw/i4/2026/</x:v>
      </x:c>
      <x:c r="U24" s="4" t="str">
        <x:v>bmw-i4-2026-edrive40</x:v>
      </x:c>
    </x:row>
    <x:row r="25">
      <x:c r="A25" s="28" t="str">
        <x:v>Priority · verify sources</x:v>
      </x:c>
      <x:c r="B25" s="4" t="str">
        <x:v>Hyundai</x:v>
      </x:c>
      <x:c r="C25" s="4" t="str">
        <x:v>Ioniq 5 N</x:v>
      </x:c>
      <x:c r="D25" s="4" t="n">
        <x:v>2026</x:v>
      </x:c>
      <x:c r="E25" s="4" t="str">
        <x:v>N</x:v>
      </x:c>
      <x:c r="F25" s="17" t="n">
        <x:v>59900</x:v>
      </x:c>
      <x:c r="G25" s="4" t="n">
        <x:v>221</x:v>
      </x:c>
      <x:c r="H25" s="4" t="n">
        <x:v>84</x:v>
      </x:c>
      <x:c r="I25" s="20" t="n">
        <x:v>3.25</x:v>
      </x:c>
      <x:c r="J25" s="4" t="n">
        <x:v>238</x:v>
      </x:c>
      <x:c r="K25" s="4" t="str">
        <x:v>SUV</x:v>
      </x:c>
      <x:c r="L25" s="4" t="str">
        <x:v>Small SUV</x:v>
      </x:c>
      <x:c r="M25" s="4" t="n">
        <x:v>5</x:v>
      </x:c>
      <x:c r="N25" s="4" t="n">
        <x:v>26.3</x:v>
      </x:c>
      <x:c r="O25" s="4"/>
      <x:c r="P25" s="4" t="str">
        <x:v>2026-08-28</x:v>
      </x:c>
      <x:c r="Q25" s="4" t="str">
        <x:v>https://evcompare.org/2026/ioniq-5-n/n/</x:v>
      </x:c>
      <x:c r="R25" s="4" t="str">
        <x:v>https://www.hyundaiusa.com/us/en/vehicles/ioniq-5-n</x:v>
      </x:c>
      <x:c r="S25" s="4" t="str">
        <x:v>https://www.fueleconomy.gov/feg/Find.do?action=sbs&amp;id=49965</x:v>
      </x:c>
      <x:c r="T25" s="4" t="str">
        <x:v>https://www.autoblog.com/cars/hyundai/ioniq-5-n/2026</x:v>
      </x:c>
      <x:c r="U25" s="4" t="str">
        <x:v>hyundai-ioniq-5-n-2026</x:v>
      </x:c>
    </x:row>
    <x:row r="26">
      <x:c r="A26" s="28" t="str">
        <x:v>Priority · verify sources</x:v>
      </x:c>
      <x:c r="B26" s="4" t="str">
        <x:v>Volvo</x:v>
      </x:c>
      <x:c r="C26" s="4" t="str">
        <x:v>EC40</x:v>
      </x:c>
      <x:c r="D26" s="4" t="n">
        <x:v>2026</x:v>
      </x:c>
      <x:c r="E26" s="4" t="str">
        <x:v>Single Motor Extended Range RWD</x:v>
      </x:c>
      <x:c r="F26" s="17" t="n">
        <x:v>64995</x:v>
      </x:c>
      <x:c r="G26" s="4" t="n">
        <x:v>298</x:v>
      </x:c>
      <x:c r="H26" s="4" t="n">
        <x:v>79</x:v>
      </x:c>
      <x:c r="I26" s="20" t="n">
        <x:v>7.3</x:v>
      </x:c>
      <x:c r="J26" s="4" t="n">
        <x:v>200</x:v>
      </x:c>
      <x:c r="K26" s="4" t="str">
        <x:v>SUV</x:v>
      </x:c>
      <x:c r="L26" s="4" t="str">
        <x:v>Small SUV</x:v>
      </x:c>
      <x:c r="M26" s="4" t="n">
        <x:v>5</x:v>
      </x:c>
      <x:c r="N26" s="4" t="n">
        <x:v>14.3</x:v>
      </x:c>
      <x:c r="O26" s="4"/>
      <x:c r="P26" s="4" t="str">
        <x:v>2026-08-28</x:v>
      </x:c>
      <x:c r="Q26" s="4" t="str">
        <x:v>https://evcompare.org/2026/ec40/single-motor-extended-range-rwd/</x:v>
      </x:c>
      <x:c r="R26" s="4" t="str">
        <x:v>https://www.volvocars.com/us/cars/ec40-electric/</x:v>
      </x:c>
      <x:c r="S26" s="4" t="str">
        <x:v>https://www.fueleconomy.gov/feg/Find.do?action=sbs&amp;id=49748</x:v>
      </x:c>
      <x:c r="T26" s="4" t="str">
        <x:v>https://topelectricsuv.com/reviews/volvo-ec40/</x:v>
      </x:c>
      <x:c r="U26" s="4" t="str">
        <x:v>volvo-ec40-2026-single-motor-rwd</x:v>
      </x:c>
    </x:row>
    <x:row r="27">
      <x:c r="A27" s="28" t="str">
        <x:v>Priority · missing specs</x:v>
      </x:c>
      <x:c r="B27" s="4" t="str">
        <x:v>Jeep</x:v>
      </x:c>
      <x:c r="C27" s="4" t="str">
        <x:v>Recon</x:v>
      </x:c>
      <x:c r="D27" s="4" t="n">
        <x:v>2026</x:v>
      </x:c>
      <x:c r="E27" s="4" t="str">
        <x:v>Moab 4WD</x:v>
      </x:c>
      <x:c r="F27" s="17" t="n">
        <x:v>65000</x:v>
      </x:c>
      <x:c r="G27" s="4" t="n">
        <x:v>222</x:v>
      </x:c>
      <x:c r="H27" s="4" t="n">
        <x:v>100.5</x:v>
      </x:c>
      <x:c r="I27" s="20" t="n">
        <x:v>3.6</x:v>
      </x:c>
      <x:c r="J27" s="4"/>
      <x:c r="K27" s="4" t="str">
        <x:v>SUV</x:v>
      </x:c>
      <x:c r="L27" s="4" t="str">
        <x:v>Small SUV</x:v>
      </x:c>
      <x:c r="M27" s="4" t="n">
        <x:v>5</x:v>
      </x:c>
      <x:c r="N27" s="4" t="n">
        <x:v>30.3</x:v>
      </x:c>
      <x:c r="O27" s="4" t="str">
        <x:v>2026-06</x:v>
      </x:c>
      <x:c r="P27" s="4" t="str">
        <x:v>2026-08-28</x:v>
      </x:c>
      <x:c r="Q27" s="4" t="str">
        <x:v>https://evcompare.org/2026/recon/moab-4wd/</x:v>
      </x:c>
      <x:c r="R27" s="4" t="str">
        <x:v>https://www.jeep.com/recon.html</x:v>
      </x:c>
      <x:c r="S27" s="4" t="str">
        <x:v>https://www.fueleconomy.gov/feg/Find.do?action=sbs&amp;id=50449</x:v>
      </x:c>
      <x:c r="T27" s="4" t="str">
        <x:v>https://www.consumerreports.org/cars/hybrids-evs/2026-jeep-recon-electric-suv-review-a1341965777/</x:v>
      </x:c>
      <x:c r="U27" s="4" t="str">
        <x:v>jeep-recon-2026-moab-4wd</x:v>
      </x:c>
    </x:row>
    <x:row r="28">
      <x:c r="A28" s="28" t="str">
        <x:v>Priority · verify sources</x:v>
      </x:c>
      <x:c r="B28" s="4" t="str">
        <x:v>BMW</x:v>
      </x:c>
      <x:c r="C28" s="4" t="str">
        <x:v>i5</x:v>
      </x:c>
      <x:c r="D28" s="4" t="n">
        <x:v>2026</x:v>
      </x:c>
      <x:c r="E28" s="4" t="str">
        <x:v>eDrive40</x:v>
      </x:c>
      <x:c r="F28" s="17" t="n">
        <x:v>67100</x:v>
      </x:c>
      <x:c r="G28" s="4" t="n">
        <x:v>310</x:v>
      </x:c>
      <x:c r="H28" s="4" t="n">
        <x:v>81.2</x:v>
      </x:c>
      <x:c r="I28" s="20" t="n">
        <x:v>5.7</x:v>
      </x:c>
      <x:c r="J28" s="4" t="n">
        <x:v>205</x:v>
      </x:c>
      <x:c r="K28" s="4" t="str">
        <x:v>Sedan</x:v>
      </x:c>
      <x:c r="L28" s="4" t="str">
        <x:v>Compact Car</x:v>
      </x:c>
      <x:c r="M28" s="4" t="n">
        <x:v>5</x:v>
      </x:c>
      <x:c r="N28" s="4" t="n">
        <x:v>17.3</x:v>
      </x:c>
      <x:c r="O28" s="4"/>
      <x:c r="P28" s="4" t="str">
        <x:v>2026-08-28</x:v>
      </x:c>
      <x:c r="Q28" s="4" t="str">
        <x:v>https://evcompare.org/2026/i5/edrive40/</x:v>
      </x:c>
      <x:c r="R28" s="4" t="str">
        <x:v>https://www.bmwusa.com/vehicles/bmw-i-series/i5/bmw-i5-overview.html</x:v>
      </x:c>
      <x:c r="S28" s="4" t="str">
        <x:v>https://www.fueleconomy.gov/feg/Find.do?action=sbs&amp;id=49613</x:v>
      </x:c>
      <x:c r="T28" s="4" t="str">
        <x:v>https://www.edmunds.com/bmw/i5/2026/</x:v>
      </x:c>
      <x:c r="U28" s="4" t="str">
        <x:v>bmw-i5-2026-edrive40</x:v>
      </x:c>
    </x:row>
    <x:row r="29">
      <x:c r="A29" s="4" t="str">
        <x:v>Older model year · check stock</x:v>
      </x:c>
      <x:c r="B29" s="4" t="str">
        <x:v>Fiat</x:v>
      </x:c>
      <x:c r="C29" s="4" t="str">
        <x:v>500e</x:v>
      </x:c>
      <x:c r="D29" s="4" t="n">
        <x:v>2025</x:v>
      </x:c>
      <x:c r="E29" s="4" t="str">
        <x:v>(500e)RED</x:v>
      </x:c>
      <x:c r="F29" s="17" t="n">
        <x:v>30500</x:v>
      </x:c>
      <x:c r="G29" s="4" t="n">
        <x:v>149</x:v>
      </x:c>
      <x:c r="H29" s="4" t="n">
        <x:v>42</x:v>
      </x:c>
      <x:c r="I29" s="20" t="n">
        <x:v>7.8</x:v>
      </x:c>
      <x:c r="J29" s="4"/>
      <x:c r="K29" s="4" t="str">
        <x:v>Hatchback</x:v>
      </x:c>
      <x:c r="L29" s="4" t="str">
        <x:v>Minicompact Car</x:v>
      </x:c>
      <x:c r="M29" s="4" t="n">
        <x:v>4</x:v>
      </x:c>
      <x:c r="N29" s="4" t="n">
        <x:v>7.51</x:v>
      </x:c>
      <x:c r="O29" s="4"/>
      <x:c r="P29" s="4" t="str">
        <x:v>2026-08-28</x:v>
      </x:c>
      <x:c r="Q29" s="4" t="str">
        <x:v>https://evcompare.org/2025/500e/500e-red/</x:v>
      </x:c>
      <x:c r="R29" s="4" t="str">
        <x:v>https://www.fiatusa.com/models/500e-red</x:v>
      </x:c>
      <x:c r="S29" s="4" t="str">
        <x:v>https://www.fueleconomy.gov/feg/Find.do?action=sbs&amp;id=48703</x:v>
      </x:c>
      <x:c r="T29" s="4" t="str">
        <x:v>https://www.edmunds.com/fiat/500e/</x:v>
      </x:c>
      <x:c r="U29" s="4" t="str">
        <x:v>fiat-500e-2025-red</x:v>
      </x:c>
    </x:row>
    <x:row r="30">
      <x:c r="A30" s="4" t="str">
        <x:v>Older model year · check stock</x:v>
      </x:c>
      <x:c r="B30" s="4" t="str">
        <x:v>Hyundai</x:v>
      </x:c>
      <x:c r="C30" s="4" t="str">
        <x:v>Kona Electric</x:v>
      </x:c>
      <x:c r="D30" s="4" t="n">
        <x:v>2025</x:v>
      </x:c>
      <x:c r="E30" s="4" t="str">
        <x:v>SE FWD</x:v>
      </x:c>
      <x:c r="F30" s="17" t="n">
        <x:v>32975</x:v>
      </x:c>
      <x:c r="G30" s="4" t="n">
        <x:v>200</x:v>
      </x:c>
      <x:c r="H30" s="4" t="n">
        <x:v>48.6</x:v>
      </x:c>
      <x:c r="I30" s="20"/>
      <x:c r="J30" s="4" t="n">
        <x:v>100</x:v>
      </x:c>
      <x:c r="K30" s="4" t="str">
        <x:v>SUV</x:v>
      </x:c>
      <x:c r="L30" s="4" t="str">
        <x:v>Small SUV</x:v>
      </x:c>
      <x:c r="M30" s="4" t="n">
        <x:v>5</x:v>
      </x:c>
      <x:c r="N30" s="4" t="n">
        <x:v>25.5</x:v>
      </x:c>
      <x:c r="O30" s="4"/>
      <x:c r="P30" s="4" t="str">
        <x:v>2026-08-28</x:v>
      </x:c>
      <x:c r="Q30" s="4" t="str">
        <x:v>https://evcompare.org/2025/kona-electric/se-fwd/</x:v>
      </x:c>
      <x:c r="R30" s="4" t="str">
        <x:v>https://www.hyundaiusa.com/us/en/vehicles/kona-electric/se</x:v>
      </x:c>
      <x:c r="S30" s="4" t="str">
        <x:v>https://www.fueleconomy.gov/feg/Find.do?action=sbs&amp;id=48359</x:v>
      </x:c>
      <x:c r="T30" s="4" t="str">
        <x:v>https://www.edmunds.com/hyundai/kona-electric/2025/features-specs/</x:v>
      </x:c>
      <x:c r="U30" s="4" t="str">
        <x:v>hyundai-kona-electric-2025-se-fwd</x:v>
      </x:c>
    </x:row>
    <x:row r="31">
      <x:c r="A31" s="4" t="str">
        <x:v>Alternate configuration</x:v>
      </x:c>
      <x:c r="B31" s="4" t="str">
        <x:v>Chevrolet</x:v>
      </x:c>
      <x:c r="C31" s="4" t="str">
        <x:v>Bolt</x:v>
      </x:c>
      <x:c r="D31" s="4" t="n">
        <x:v>2027</x:v>
      </x:c>
      <x:c r="E31" s="4" t="str">
        <x:v>RS</x:v>
      </x:c>
      <x:c r="F31" s="17" t="n">
        <x:v>32995</x:v>
      </x:c>
      <x:c r="G31" s="4" t="n">
        <x:v>262</x:v>
      </x:c>
      <x:c r="H31" s="4" t="n">
        <x:v>65</x:v>
      </x:c>
      <x:c r="I31" s="20" t="n">
        <x:v>6.8</x:v>
      </x:c>
      <x:c r="J31" s="4" t="n">
        <x:v>150</x:v>
      </x:c>
      <x:c r="K31" s="4" t="str">
        <x:v>Hatchback</x:v>
      </x:c>
      <x:c r="L31" s="4" t="str">
        <x:v>Small Wagon</x:v>
      </x:c>
      <x:c r="M31" s="4" t="n">
        <x:v>5</x:v>
      </x:c>
      <x:c r="N31" s="4" t="n">
        <x:v>16.2</x:v>
      </x:c>
      <x:c r="O31" s="4"/>
      <x:c r="P31" s="4" t="str">
        <x:v>2026-08-28</x:v>
      </x:c>
      <x:c r="Q31" s="4" t="str">
        <x:v>https://evcompare.org/2027/bolt/rs/</x:v>
      </x:c>
      <x:c r="R31" s="4" t="str">
        <x:v>https://www.chevrolet.com/electric/bolt-ev</x:v>
      </x:c>
      <x:c r="S31" s="4" t="str">
        <x:v>https://www.fueleconomy.gov/feg/Find.do?action=sbs&amp;id=50372</x:v>
      </x:c>
      <x:c r="T31" s="4" t="str">
        <x:v>https://electrek.co/2026/03/09/2027-chevy-bolt-review-whys-this-great-budget-ev-only-here-for-a-limited-time/</x:v>
      </x:c>
      <x:c r="U31" s="4" t="str">
        <x:v>chevrolet-bolt-2027-rs</x:v>
      </x:c>
    </x:row>
    <x:row r="32">
      <x:c r="A32" s="4" t="str">
        <x:v>Alternate configuration</x:v>
      </x:c>
      <x:c r="B32" s="4" t="str">
        <x:v>Nissan</x:v>
      </x:c>
      <x:c r="C32" s="4" t="str">
        <x:v>Leaf</x:v>
      </x:c>
      <x:c r="D32" s="4" t="n">
        <x:v>2026</x:v>
      </x:c>
      <x:c r="E32" s="4" t="str">
        <x:v>SV+ FWD</x:v>
      </x:c>
      <x:c r="F32" s="17" t="n">
        <x:v>34230</x:v>
      </x:c>
      <x:c r="G32" s="4" t="n">
        <x:v>288</x:v>
      </x:c>
      <x:c r="H32" s="4" t="n">
        <x:v>75</x:v>
      </x:c>
      <x:c r="I32" s="20" t="n">
        <x:v>7.2</x:v>
      </x:c>
      <x:c r="J32" s="4" t="n">
        <x:v>150</x:v>
      </x:c>
      <x:c r="K32" s="4" t="str">
        <x:v>Hatchback</x:v>
      </x:c>
      <x:c r="L32" s="4" t="str">
        <x:v>Small Wagon</x:v>
      </x:c>
      <x:c r="M32" s="4" t="n">
        <x:v>5</x:v>
      </x:c>
      <x:c r="N32" s="4" t="n">
        <x:v>20</x:v>
      </x:c>
      <x:c r="O32" s="4"/>
      <x:c r="P32" s="4" t="str">
        <x:v>2026-08-28</x:v>
      </x:c>
      <x:c r="Q32" s="4" t="str">
        <x:v>https://evcompare.org/2026/leaf/sv-fwd/</x:v>
      </x:c>
      <x:c r="R32" s="4" t="str">
        <x:v>https://www.nissanusa.com/vehicles/electric-cars/leaf/specs-trims.html</x:v>
      </x:c>
      <x:c r="S32" s="4" t="str">
        <x:v>https://www.fueleconomy.gov/feg/Find.do?action=sbs&amp;id=49974</x:v>
      </x:c>
      <x:c r="T32" s="4" t="str">
        <x:v>https://www.edmunds.com/nissan/leaf/2026/features-specs/</x:v>
      </x:c>
      <x:c r="U32" s="4" t="str">
        <x:v>nissan-leaf-2026-sv-plus-fwd</x:v>
      </x:c>
    </x:row>
    <x:row r="33">
      <x:c r="A33" s="4" t="str">
        <x:v>Older model year · check stock</x:v>
      </x:c>
      <x:c r="B33" s="4" t="str">
        <x:v>Volvo</x:v>
      </x:c>
      <x:c r="C33" s="4" t="str">
        <x:v>EX30</x:v>
      </x:c>
      <x:c r="D33" s="4" t="n">
        <x:v>2025</x:v>
      </x:c>
      <x:c r="E33" s="4" t="str">
        <x:v>Single Motor Extended Range</x:v>
      </x:c>
      <x:c r="F33" s="17" t="n">
        <x:v>34950</x:v>
      </x:c>
      <x:c r="G33" s="4" t="n">
        <x:v>261</x:v>
      </x:c>
      <x:c r="H33" s="4" t="n">
        <x:v>64</x:v>
      </x:c>
      <x:c r="I33" s="20" t="n">
        <x:v>5.1</x:v>
      </x:c>
      <x:c r="J33" s="4" t="n">
        <x:v>153</x:v>
      </x:c>
      <x:c r="K33" s="4" t="str">
        <x:v>SUV</x:v>
      </x:c>
      <x:c r="L33" s="4" t="str">
        <x:v>Small SUV</x:v>
      </x:c>
      <x:c r="M33" s="4" t="n">
        <x:v>5</x:v>
      </x:c>
      <x:c r="N33" s="4" t="n">
        <x:v>11.2</x:v>
      </x:c>
      <x:c r="O33" s="4"/>
      <x:c r="P33" s="4" t="str">
        <x:v>2026-08-28</x:v>
      </x:c>
      <x:c r="Q33" s="4" t="str">
        <x:v>https://evcompare.org/2025/ex30/single-motor-extended-range/</x:v>
      </x:c>
      <x:c r="R33" s="4" t="str">
        <x:v>https://www.volvocars.com/us/cars/ex30-electric/</x:v>
      </x:c>
      <x:c r="S33" s="4" t="str">
        <x:v>https://www.fueleconomy.gov/feg/Find.do?action=sbs&amp;id=48450</x:v>
      </x:c>
      <x:c r="T33" s="4" t="str">
        <x:v>https://insideevs.com/news/702527/2025-volvo-ex30-range-specs-pricing/</x:v>
      </x:c>
      <x:c r="U33" s="4" t="str">
        <x:v>volvo-ex30-2025-single-motor-extended-range</x:v>
      </x:c>
    </x:row>
    <x:row r="34">
      <x:c r="A34" s="4" t="str">
        <x:v>Alternate configuration</x:v>
      </x:c>
      <x:c r="B34" s="4" t="str">
        <x:v>Hyundai</x:v>
      </x:c>
      <x:c r="C34" s="4" t="str">
        <x:v>Ioniq 5</x:v>
      </x:c>
      <x:c r="D34" s="4" t="n">
        <x:v>2026</x:v>
      </x:c>
      <x:c r="E34" s="4" t="str">
        <x:v>SE Standard Range RWD</x:v>
      </x:c>
      <x:c r="F34" s="17" t="n">
        <x:v>35000</x:v>
      </x:c>
      <x:c r="G34" s="4" t="n">
        <x:v>245</x:v>
      </x:c>
      <x:c r="H34" s="4" t="n">
        <x:v>63</x:v>
      </x:c>
      <x:c r="I34" s="20" t="n">
        <x:v>8.5</x:v>
      </x:c>
      <x:c r="J34" s="4" t="n">
        <x:v>250</x:v>
      </x:c>
      <x:c r="K34" s="4" t="str">
        <x:v>SUV</x:v>
      </x:c>
      <x:c r="L34" s="4" t="str">
        <x:v>Small SUV</x:v>
      </x:c>
      <x:c r="M34" s="4" t="n">
        <x:v>5</x:v>
      </x:c>
      <x:c r="N34" s="4" t="n">
        <x:v>26.3</x:v>
      </x:c>
      <x:c r="O34" s="4"/>
      <x:c r="P34" s="4" t="str">
        <x:v>2026-08-21</x:v>
      </x:c>
      <x:c r="Q34" s="4" t="str">
        <x:v>https://evcompare.org/2026/ioniq-5/se-standard-range-rwd/</x:v>
      </x:c>
      <x:c r="R34" s="4" t="str">
        <x:v>https://www.hyundaiusa.com/us/en/vehicles/ioniq-5/se-standard-range</x:v>
      </x:c>
      <x:c r="S34" s="4" t="str">
        <x:v>https://www.fueleconomy.gov/feg/Find.do?action=sbs&amp;id=49961</x:v>
      </x:c>
      <x:c r="T34" s="4" t="str">
        <x:v>https://cars.usnews.com/cars-trucks/hyundai/ioniq-5/specs/ioniq-5-se-standard-range-rwd-474165</x:v>
      </x:c>
      <x:c r="U34" s="4" t="str">
        <x:v>hyundai-ioniq-5-2026-se-standard-range-rwd</x:v>
      </x:c>
    </x:row>
    <x:row r="35">
      <x:c r="A35" s="4" t="str">
        <x:v>Alternate configuration</x:v>
      </x:c>
      <x:c r="B35" s="4" t="str">
        <x:v>Toyota</x:v>
      </x:c>
      <x:c r="C35" s="4" t="str">
        <x:v>bZ</x:v>
      </x:c>
      <x:c r="D35" s="4" t="n">
        <x:v>2026</x:v>
      </x:c>
      <x:c r="E35" s="4" t="str">
        <x:v>XLE FWD</x:v>
      </x:c>
      <x:c r="F35" s="17" t="n">
        <x:v>36350</x:v>
      </x:c>
      <x:c r="G35" s="4" t="n">
        <x:v>236</x:v>
      </x:c>
      <x:c r="H35" s="4" t="n">
        <x:v>57.7</x:v>
      </x:c>
      <x:c r="I35" s="20" t="n">
        <x:v>8</x:v>
      </x:c>
      <x:c r="J35" s="4" t="n">
        <x:v>150</x:v>
      </x:c>
      <x:c r="K35" s="4" t="str">
        <x:v>SUV</x:v>
      </x:c>
      <x:c r="L35" s="4" t="str">
        <x:v>Small SUV</x:v>
      </x:c>
      <x:c r="M35" s="4" t="n">
        <x:v>5</x:v>
      </x:c>
      <x:c r="N35" s="4" t="n">
        <x:v>27.7</x:v>
      </x:c>
      <x:c r="O35" s="4"/>
      <x:c r="P35" s="4" t="str">
        <x:v>2026-08-28</x:v>
      </x:c>
      <x:c r="Q35" s="4" t="str">
        <x:v>https://evcompare.org/2026/bz/xle-fwd/</x:v>
      </x:c>
      <x:c r="R35" s="4" t="str">
        <x:v>https://www.toyota.com/bz/</x:v>
      </x:c>
      <x:c r="S35" s="4" t="str">
        <x:v>https://www.fueleconomy.gov/feg/Find.do?action=sbs&amp;id=49983</x:v>
      </x:c>
      <x:c r="T35" s="4" t="str">
        <x:v>https://www.edmunds.com/toyota/bz/2026/features-specs/</x:v>
      </x:c>
      <x:c r="U35" s="4" t="str">
        <x:v>toyota-bz-2026-xle-fwd</x:v>
      </x:c>
    </x:row>
    <x:row r="36">
      <x:c r="A36" s="4" t="str">
        <x:v>Older model year · check stock</x:v>
      </x:c>
      <x:c r="B36" s="4" t="str">
        <x:v>Hyundai</x:v>
      </x:c>
      <x:c r="C36" s="4" t="str">
        <x:v>Ioniq 6</x:v>
      </x:c>
      <x:c r="D36" s="4" t="n">
        <x:v>2025</x:v>
      </x:c>
      <x:c r="E36" s="4" t="str">
        <x:v>SE Standard Range RWD</x:v>
      </x:c>
      <x:c r="F36" s="17" t="n">
        <x:v>37750</x:v>
      </x:c>
      <x:c r="G36" s="4" t="n">
        <x:v>240</x:v>
      </x:c>
      <x:c r="H36" s="4" t="n">
        <x:v>53</x:v>
      </x:c>
      <x:c r="I36" s="20" t="n">
        <x:v>8.7</x:v>
      </x:c>
      <x:c r="J36" s="4" t="n">
        <x:v>175</x:v>
      </x:c>
      <x:c r="K36" s="4" t="str">
        <x:v>Sedan</x:v>
      </x:c>
      <x:c r="L36" s="4" t="str">
        <x:v>Midsize Car</x:v>
      </x:c>
      <x:c r="M36" s="4" t="n">
        <x:v>5</x:v>
      </x:c>
      <x:c r="N36" s="4" t="n">
        <x:v>11.2</x:v>
      </x:c>
      <x:c r="O36" s="4"/>
      <x:c r="P36" s="4" t="str">
        <x:v>2026-08-21</x:v>
      </x:c>
      <x:c r="Q36" s="4" t="str">
        <x:v>https://evcompare.org/2025/ioniq-6/se-standard-range-rwd/</x:v>
      </x:c>
      <x:c r="R36" s="4" t="str">
        <x:v>https://www.hyundaiusa.com/us/en/vehicles/ioniq-6/se-standard-range</x:v>
      </x:c>
      <x:c r="S36" s="4" t="str">
        <x:v>https://www.fueleconomy.gov/feg/Find.do?action=sbs&amp;id=48364</x:v>
      </x:c>
      <x:c r="T36" s="4" t="str">
        <x:v>https://www.motormatchup.com/catalog/Hyundai/IONIQ-6/2025/SE-Standard-Range-RWD</x:v>
      </x:c>
      <x:c r="U36" s="4" t="str">
        <x:v>hyundai-ioniq-6-2025-se-standard-range-rwd</x:v>
      </x:c>
    </x:row>
    <x:row r="37">
      <x:c r="A37" s="4" t="str">
        <x:v>Alternate configuration</x:v>
      </x:c>
      <x:c r="B37" s="4" t="str">
        <x:v>Ford</x:v>
      </x:c>
      <x:c r="C37" s="4" t="str">
        <x:v>Mustang Mach-E</x:v>
      </x:c>
      <x:c r="D37" s="4" t="n">
        <x:v>2026</x:v>
      </x:c>
      <x:c r="E37" s="4" t="str">
        <x:v>Select RWD</x:v>
      </x:c>
      <x:c r="F37" s="17" t="n">
        <x:v>37795</x:v>
      </x:c>
      <x:c r="G37" s="4" t="n">
        <x:v>260</x:v>
      </x:c>
      <x:c r="H37" s="4" t="n">
        <x:v>68</x:v>
      </x:c>
      <x:c r="I37" s="20" t="n">
        <x:v>5.6</x:v>
      </x:c>
      <x:c r="J37" s="4" t="n">
        <x:v>115</x:v>
      </x:c>
      <x:c r="K37" s="4" t="str">
        <x:v>SUV</x:v>
      </x:c>
      <x:c r="L37" s="4" t="str">
        <x:v>Small SUV</x:v>
      </x:c>
      <x:c r="M37" s="4" t="n">
        <x:v>5</x:v>
      </x:c>
      <x:c r="N37" s="4" t="n">
        <x:v>29.7</x:v>
      </x:c>
      <x:c r="O37" s="4"/>
      <x:c r="P37" s="4" t="str">
        <x:v>2026-08-21</x:v>
      </x:c>
      <x:c r="Q37" s="4" t="str">
        <x:v>https://evcompare.org/2026/mustang-mach-e/select-rwd/</x:v>
      </x:c>
      <x:c r="R37" s="4" t="str">
        <x:v>https://www.ford.com/suvs/mach-e/models/select/</x:v>
      </x:c>
      <x:c r="S37" s="4" t="str">
        <x:v>https://www.fueleconomy.gov/feg/Find.do?action=sbs&amp;id=50204</x:v>
      </x:c>
      <x:c r="T37" s="4" t="str">
        <x:v>https://www.edmunds.com/ford/mustang-mach-e/2026/trims/</x:v>
      </x:c>
      <x:c r="U37" s="4" t="str">
        <x:v>ford-mustang-mach-e-2026-select-rwd</x:v>
      </x:c>
    </x:row>
    <x:row r="38">
      <x:c r="A38" s="4" t="str">
        <x:v>Alternate configuration</x:v>
      </x:c>
      <x:c r="B38" s="4" t="str">
        <x:v>Kia</x:v>
      </x:c>
      <x:c r="C38" s="4" t="str">
        <x:v>EV6</x:v>
      </x:c>
      <x:c r="D38" s="4" t="n">
        <x:v>2026</x:v>
      </x:c>
      <x:c r="E38" s="4" t="str">
        <x:v>Light RWD</x:v>
      </x:c>
      <x:c r="F38" s="17" t="n">
        <x:v>37900</x:v>
      </x:c>
      <x:c r="G38" s="4" t="n">
        <x:v>237</x:v>
      </x:c>
      <x:c r="H38" s="4" t="n">
        <x:v>63</x:v>
      </x:c>
      <x:c r="I38" s="20" t="n">
        <x:v>8.3</x:v>
      </x:c>
      <x:c r="J38" s="4" t="n">
        <x:v>180</x:v>
      </x:c>
      <x:c r="K38" s="4" t="str">
        <x:v>SUV</x:v>
      </x:c>
      <x:c r="L38" s="4" t="str">
        <x:v>Small SUV</x:v>
      </x:c>
      <x:c r="M38" s="4" t="n">
        <x:v>5</x:v>
      </x:c>
      <x:c r="N38" s="4" t="n">
        <x:v>24.4</x:v>
      </x:c>
      <x:c r="O38" s="4"/>
      <x:c r="P38" s="4" t="str">
        <x:v>2026-08-28</x:v>
      </x:c>
      <x:c r="Q38" s="4" t="str">
        <x:v>https://evcompare.org/2026/ev6/light-rwd/</x:v>
      </x:c>
      <x:c r="R38" s="4" t="str">
        <x:v>https://www.kia.com/us/en/ev6/specs-compare</x:v>
      </x:c>
      <x:c r="S38" s="4" t="str">
        <x:v>https://www.fueleconomy.gov/feg/Find.do?action=sbs&amp;id=50215</x:v>
      </x:c>
      <x:c r="T38" s="4" t="str">
        <x:v>https://cars.usnews.com/cars-trucks/kia/ev6</x:v>
      </x:c>
      <x:c r="U38" s="4" t="str">
        <x:v>kia-ev6-2026-light-rwd</x:v>
      </x:c>
    </x:row>
    <x:row r="39">
      <x:c r="A39" s="4" t="str">
        <x:v>Older model year · check stock</x:v>
      </x:c>
      <x:c r="B39" s="4" t="str">
        <x:v>Subaru</x:v>
      </x:c>
      <x:c r="C39" s="4" t="str">
        <x:v>Solterra</x:v>
      </x:c>
      <x:c r="D39" s="4" t="n">
        <x:v>2025</x:v>
      </x:c>
      <x:c r="E39" s="4" t="str">
        <x:v>Premium AWD</x:v>
      </x:c>
      <x:c r="F39" s="17" t="n">
        <x:v>38495</x:v>
      </x:c>
      <x:c r="G39" s="4" t="n">
        <x:v>227</x:v>
      </x:c>
      <x:c r="H39" s="4" t="n">
        <x:v>72.8</x:v>
      </x:c>
      <x:c r="I39" s="20" t="n">
        <x:v>6.7</x:v>
      </x:c>
      <x:c r="J39" s="4" t="n">
        <x:v>100</x:v>
      </x:c>
      <x:c r="K39" s="4" t="str">
        <x:v>SUV</x:v>
      </x:c>
      <x:c r="L39" s="4" t="str">
        <x:v>Small SUV</x:v>
      </x:c>
      <x:c r="M39" s="4" t="n">
        <x:v>5</x:v>
      </x:c>
      <x:c r="N39" s="4" t="n">
        <x:v>23.8</x:v>
      </x:c>
      <x:c r="O39" s="4"/>
      <x:c r="P39" s="4" t="str">
        <x:v>2026-08-28</x:v>
      </x:c>
      <x:c r="Q39" s="4" t="str">
        <x:v>https://evcompare.org/2025/solterra/premium-awd/</x:v>
      </x:c>
      <x:c r="R39" s="4" t="str">
        <x:v>https://www.subaru.com/vehicles/solterra/2025/specs-trim.html</x:v>
      </x:c>
      <x:c r="S39" s="4" t="str">
        <x:v>https://www.fueleconomy.gov/feg/Find.do?action=sbs&amp;id=48762</x:v>
      </x:c>
      <x:c r="T39" s="4" t="str">
        <x:v>https://www.edmunds.com/subaru/solterra/2025/st-402062515/features-specs/</x:v>
      </x:c>
      <x:c r="U39" s="4" t="str">
        <x:v>subaru-solterra-2025-premium-awd</x:v>
      </x:c>
    </x:row>
    <x:row r="40">
      <x:c r="A40" s="4" t="str">
        <x:v>Older model year · check stock</x:v>
      </x:c>
      <x:c r="B40" s="4" t="str">
        <x:v>Kia</x:v>
      </x:c>
      <x:c r="C40" s="4" t="str">
        <x:v>Niro EV</x:v>
      </x:c>
      <x:c r="D40" s="4" t="n">
        <x:v>2025</x:v>
      </x:c>
      <x:c r="E40" s="4" t="str">
        <x:v>Wind FWD</x:v>
      </x:c>
      <x:c r="F40" s="17" t="n">
        <x:v>39600</x:v>
      </x:c>
      <x:c r="G40" s="4" t="n">
        <x:v>253</x:v>
      </x:c>
      <x:c r="H40" s="4" t="n">
        <x:v>64.8</x:v>
      </x:c>
      <x:c r="I40" s="20" t="n">
        <x:v>7.1</x:v>
      </x:c>
      <x:c r="J40" s="4" t="n">
        <x:v>85</x:v>
      </x:c>
      <x:c r="K40" s="4" t="str">
        <x:v>SUV</x:v>
      </x:c>
      <x:c r="L40" s="4" t="str">
        <x:v>Small SUV</x:v>
      </x:c>
      <x:c r="M40" s="4" t="n">
        <x:v>5</x:v>
      </x:c>
      <x:c r="N40" s="4" t="n">
        <x:v>22.8</x:v>
      </x:c>
      <x:c r="O40" s="4"/>
      <x:c r="P40" s="4" t="str">
        <x:v>2026-08-28</x:v>
      </x:c>
      <x:c r="Q40" s="4" t="str">
        <x:v>https://evcompare.org/2025/niro-ev/wind-fwd/</x:v>
      </x:c>
      <x:c r="R40" s="4" t="str">
        <x:v>https://www.kia.com/us/en/niro-ev</x:v>
      </x:c>
      <x:c r="S40" s="4" t="str">
        <x:v>https://www.fueleconomy.gov/feg/Find.do?action=sbs&amp;id=48370</x:v>
      </x:c>
      <x:c r="T40" s="4" t="str">
        <x:v>https://www.edmunds.com/kia/niro-ev/2025/st-402055749/features-specs/</x:v>
      </x:c>
      <x:c r="U40" s="4" t="str">
        <x:v>kia-niro-ev-2025-wind-fwd</x:v>
      </x:c>
    </x:row>
    <x:row r="41">
      <x:c r="A41" s="4" t="str">
        <x:v>Older model year · check stock</x:v>
      </x:c>
      <x:c r="B41" s="4" t="str">
        <x:v>Nissan</x:v>
      </x:c>
      <x:c r="C41" s="4" t="str">
        <x:v>Ariya</x:v>
      </x:c>
      <x:c r="D41" s="4" t="n">
        <x:v>2025</x:v>
      </x:c>
      <x:c r="E41" s="4" t="str">
        <x:v>Engage FWD</x:v>
      </x:c>
      <x:c r="F41" s="17" t="n">
        <x:v>39770</x:v>
      </x:c>
      <x:c r="G41" s="4" t="n">
        <x:v>216</x:v>
      </x:c>
      <x:c r="H41" s="4" t="n">
        <x:v>63</x:v>
      </x:c>
      <x:c r="I41" s="20" t="n">
        <x:v>7.1</x:v>
      </x:c>
      <x:c r="J41" s="4" t="n">
        <x:v>130</x:v>
      </x:c>
      <x:c r="K41" s="4" t="str">
        <x:v>SUV</x:v>
      </x:c>
      <x:c r="L41" s="4" t="str">
        <x:v>Small SUV</x:v>
      </x:c>
      <x:c r="M41" s="4" t="n">
        <x:v>5</x:v>
      </x:c>
      <x:c r="N41" s="4" t="n">
        <x:v>22.8</x:v>
      </x:c>
      <x:c r="O41" s="4"/>
      <x:c r="P41" s="4" t="str">
        <x:v>2026-08-28</x:v>
      </x:c>
      <x:c r="Q41" s="4" t="str">
        <x:v>https://evcompare.org/2025/ariya/engage-fwd/</x:v>
      </x:c>
      <x:c r="R41" s="4" t="str">
        <x:v>https://www.nissanusa.com/vehicles/discontinued/ariya.html</x:v>
      </x:c>
      <x:c r="S41" s="4" t="str">
        <x:v>https://www.fueleconomy.gov/feg/Find.do?action=sbs&amp;id=48721</x:v>
      </x:c>
      <x:c r="T41" s="4" t="str">
        <x:v>https://www.edmunds.com/nissan/ariya/2025/st-402061762/features-specs/</x:v>
      </x:c>
      <x:c r="U41" s="4" t="str">
        <x:v>nissan-ariya-2025-engage-fwd</x:v>
      </x:c>
    </x:row>
    <x:row r="42">
      <x:c r="A42" s="4" t="str">
        <x:v>Older model year · check stock</x:v>
      </x:c>
      <x:c r="B42" s="4" t="str">
        <x:v>VinFast</x:v>
      </x:c>
      <x:c r="C42" s="4" t="str">
        <x:v>VF8</x:v>
      </x:c>
      <x:c r="D42" s="4" t="n">
        <x:v>2025</x:v>
      </x:c>
      <x:c r="E42" s="4" t="str">
        <x:v>Eco AWD</x:v>
      </x:c>
      <x:c r="F42" s="17" t="n">
        <x:v>39900</x:v>
      </x:c>
      <x:c r="G42" s="4" t="n">
        <x:v>256</x:v>
      </x:c>
      <x:c r="H42" s="4" t="n">
        <x:v>87.7</x:v>
      </x:c>
      <x:c r="I42" s="20" t="n">
        <x:v>5.9</x:v>
      </x:c>
      <x:c r="J42" s="4" t="n">
        <x:v>150</x:v>
      </x:c>
      <x:c r="K42" s="4" t="str">
        <x:v>SUV</x:v>
      </x:c>
      <x:c r="L42" s="4" t="str">
        <x:v>Special Purpose</x:v>
      </x:c>
      <x:c r="M42" s="4" t="n">
        <x:v>5</x:v>
      </x:c>
      <x:c r="N42" s="4" t="n">
        <x:v>13.2</x:v>
      </x:c>
      <x:c r="O42" s="4"/>
      <x:c r="P42" s="4" t="str">
        <x:v>2026-08-28</x:v>
      </x:c>
      <x:c r="Q42" s="4" t="str">
        <x:v>https://evcompare.org/2025/vf8/eco-awd/</x:v>
      </x:c>
      <x:c r="R42" s="4" t="str">
        <x:v>https://vinfastauto.us/vehicles/vf-8</x:v>
      </x:c>
      <x:c r="S42" s="4" t="str">
        <x:v>https://www.fueleconomy.gov/feg/Find.do?action=sbs&amp;id=49086</x:v>
      </x:c>
      <x:c r="T42" s="4" t="str">
        <x:v>https://www.kbb.com/vinfast/vf-8/2025/</x:v>
      </x:c>
      <x:c r="U42" s="4" t="str">
        <x:v>vinfast-vf8-2025-eco-awd</x:v>
      </x:c>
    </x:row>
    <x:row r="43">
      <x:c r="A43" s="4" t="str">
        <x:v>Alternate configuration</x:v>
      </x:c>
      <x:c r="B43" s="4" t="str">
        <x:v>Tesla</x:v>
      </x:c>
      <x:c r="C43" s="4" t="str">
        <x:v>Model Y</x:v>
      </x:c>
      <x:c r="D43" s="4" t="n">
        <x:v>2026</x:v>
      </x:c>
      <x:c r="E43" s="4" t="str">
        <x:v>Standard RWD</x:v>
      </x:c>
      <x:c r="F43" s="17" t="n">
        <x:v>39990</x:v>
      </x:c>
      <x:c r="G43" s="4" t="n">
        <x:v>321</x:v>
      </x:c>
      <x:c r="H43" s="4" t="n">
        <x:v>60</x:v>
      </x:c>
      <x:c r="I43" s="20" t="n">
        <x:v>6.8</x:v>
      </x:c>
      <x:c r="J43" s="4" t="n">
        <x:v>170</x:v>
      </x:c>
      <x:c r="K43" s="4" t="str">
        <x:v>SUV</x:v>
      </x:c>
      <x:c r="L43" s="4" t="str">
        <x:v>Small SUV</x:v>
      </x:c>
      <x:c r="M43" s="4" t="n">
        <x:v>5</x:v>
      </x:c>
      <x:c r="N43" s="4" t="n">
        <x:v>34.4</x:v>
      </x:c>
      <x:c r="O43" s="4"/>
      <x:c r="P43" s="4" t="str">
        <x:v>2026-08-21</x:v>
      </x:c>
      <x:c r="Q43" s="4" t="str">
        <x:v>https://evcompare.org/2026/model-y/standard-rwd/</x:v>
      </x:c>
      <x:c r="R43" s="4" t="str">
        <x:v>https://www.tesla.com/modely/design</x:v>
      </x:c>
      <x:c r="S43" s="4" t="str">
        <x:v>https://www.fueleconomy.gov/feg/Find.do?action=sbs&amp;id=50040</x:v>
      </x:c>
      <x:c r="T43" s="4" t="str">
        <x:v>https://www.edmunds.com/tesla/model-y/2026/</x:v>
      </x:c>
      <x:c r="U43" s="4" t="str">
        <x:v>tesla-model-y-2026-standard-rwd</x:v>
      </x:c>
    </x:row>
    <x:row r="44">
      <x:c r="A44" s="4" t="str">
        <x:v>Older model year · check stock</x:v>
      </x:c>
      <x:c r="B44" s="4" t="str">
        <x:v>Volkswagen</x:v>
      </x:c>
      <x:c r="C44" s="4" t="str">
        <x:v>ID.4</x:v>
      </x:c>
      <x:c r="D44" s="4" t="n">
        <x:v>2025</x:v>
      </x:c>
      <x:c r="E44" s="4" t="str">
        <x:v>Standard RWD</x:v>
      </x:c>
      <x:c r="F44" s="17" t="n">
        <x:v>39995</x:v>
      </x:c>
      <x:c r="G44" s="4" t="n">
        <x:v>206</x:v>
      </x:c>
      <x:c r="H44" s="4" t="n">
        <x:v>62</x:v>
      </x:c>
      <x:c r="I44" s="20" t="n">
        <x:v>7.1</x:v>
      </x:c>
      <x:c r="J44" s="4" t="n">
        <x:v>135</x:v>
      </x:c>
      <x:c r="K44" s="4" t="str">
        <x:v>SUV</x:v>
      </x:c>
      <x:c r="L44" s="4" t="str">
        <x:v>Small SUV</x:v>
      </x:c>
      <x:c r="M44" s="4" t="n">
        <x:v>5</x:v>
      </x:c>
      <x:c r="N44" s="4" t="n">
        <x:v>30.3</x:v>
      </x:c>
      <x:c r="O44" s="4"/>
      <x:c r="P44" s="4" t="str">
        <x:v>2026-08-28</x:v>
      </x:c>
      <x:c r="Q44" s="4" t="str">
        <x:v>https://evcompare.org/2025/id-4/standard-rwd/</x:v>
      </x:c>
      <x:c r="R44" s="4" t="str">
        <x:v>https://www.vw.com/en/models/id-4.html</x:v>
      </x:c>
      <x:c r="S44" s="4" t="str">
        <x:v>https://www.fueleconomy.gov/feg/Find.do?action=sbs&amp;id=49155</x:v>
      </x:c>
      <x:c r="T44" s="4" t="str">
        <x:v>https://www.caranddriver.com/volkswagen/id4</x:v>
      </x:c>
      <x:c r="U44" s="4" t="str">
        <x:v>volkswagen-id4-2025-standard-rwd</x:v>
      </x:c>
    </x:row>
    <x:row r="45">
      <x:c r="A45" s="4" t="str">
        <x:v>Older model year · check stock</x:v>
      </x:c>
      <x:c r="B45" s="4" t="str">
        <x:v>Hyundai</x:v>
      </x:c>
      <x:c r="C45" s="4" t="str">
        <x:v>Kona Electric</x:v>
      </x:c>
      <x:c r="D45" s="4" t="n">
        <x:v>2025</x:v>
      </x:c>
      <x:c r="E45" s="4" t="str">
        <x:v>Limited FWD</x:v>
      </x:c>
      <x:c r="F45" s="17" t="n">
        <x:v>41150</x:v>
      </x:c>
      <x:c r="G45" s="4" t="n">
        <x:v>261</x:v>
      </x:c>
      <x:c r="H45" s="4" t="n">
        <x:v>64.8</x:v>
      </x:c>
      <x:c r="I45" s="20"/>
      <x:c r="J45" s="4" t="n">
        <x:v>100</x:v>
      </x:c>
      <x:c r="K45" s="4" t="str">
        <x:v>SUV</x:v>
      </x:c>
      <x:c r="L45" s="4" t="str">
        <x:v>Small SUV</x:v>
      </x:c>
      <x:c r="M45" s="4" t="n">
        <x:v>5</x:v>
      </x:c>
      <x:c r="N45" s="4" t="n">
        <x:v>25.5</x:v>
      </x:c>
      <x:c r="O45" s="4"/>
      <x:c r="P45" s="4" t="str">
        <x:v>2026-08-28</x:v>
      </x:c>
      <x:c r="Q45" s="4" t="str">
        <x:v>https://evcompare.org/2025/kona-electric/limited-fwd/</x:v>
      </x:c>
      <x:c r="R45" s="4" t="str">
        <x:v>https://www.hyundaiusa.com/us/en/vehicles/kona-electric/limited</x:v>
      </x:c>
      <x:c r="S45" s="4" t="str">
        <x:v>https://www.fueleconomy.gov/feg/Find.do?action=sbs&amp;id=48357</x:v>
      </x:c>
      <x:c r="T45" s="4" t="str">
        <x:v>https://www.edmunds.com/hyundai/kona-electric/2025/features-specs/</x:v>
      </x:c>
      <x:c r="U45" s="4" t="str">
        <x:v>hyundai-kona-electric-2025-limited-fwd</x:v>
      </x:c>
    </x:row>
    <x:row r="46">
      <x:c r="A46" s="4" t="str">
        <x:v>Alternate configuration</x:v>
      </x:c>
      <x:c r="B46" s="4" t="str">
        <x:v>Subaru</x:v>
      </x:c>
      <x:c r="C46" s="4" t="str">
        <x:v>Uncharted</x:v>
      </x:c>
      <x:c r="D46" s="4" t="n">
        <x:v>2026</x:v>
      </x:c>
      <x:c r="E46" s="4" t="str">
        <x:v>GT</x:v>
      </x:c>
      <x:c r="F46" s="17" t="n">
        <x:v>43795</x:v>
      </x:c>
      <x:c r="G46" s="4" t="n">
        <x:v>273</x:v>
      </x:c>
      <x:c r="H46" s="4" t="n">
        <x:v>74.7</x:v>
      </x:c>
      <x:c r="I46" s="20" t="n">
        <x:v>4.7</x:v>
      </x:c>
      <x:c r="J46" s="4" t="n">
        <x:v>150</x:v>
      </x:c>
      <x:c r="K46" s="4" t="str">
        <x:v>SUV</x:v>
      </x:c>
      <x:c r="L46" s="4" t="str">
        <x:v>Small SUV</x:v>
      </x:c>
      <x:c r="M46" s="4" t="n">
        <x:v>5</x:v>
      </x:c>
      <x:c r="N46" s="4" t="n">
        <x:v>23</x:v>
      </x:c>
      <x:c r="O46" s="4"/>
      <x:c r="P46" s="4" t="str">
        <x:v>2026-08-21</x:v>
      </x:c>
      <x:c r="Q46" s="4" t="str">
        <x:v>https://evcompare.org/2026/uncharted/gt/</x:v>
      </x:c>
      <x:c r="R46" s="4" t="str">
        <x:v>https://www.subaru.com/vehicles/uncharted/2026.html</x:v>
      </x:c>
      <x:c r="S46" s="4" t="str">
        <x:v>https://www.fueleconomy.gov/feg/Find.do?action=sbs&amp;id=50302</x:v>
      </x:c>
      <x:c r="T46" s="4" t="str">
        <x:v>https://www.edmunds.com/subaru/uncharted/</x:v>
      </x:c>
      <x:c r="U46" s="4" t="str">
        <x:v>subaru-uncharted-2026-gt</x:v>
      </x:c>
    </x:row>
    <x:row r="47">
      <x:c r="A47" s="4" t="str">
        <x:v>Alternate configuration</x:v>
      </x:c>
      <x:c r="B47" s="4" t="str">
        <x:v>Chevrolet</x:v>
      </x:c>
      <x:c r="C47" s="4" t="str">
        <x:v>Equinox EV</x:v>
      </x:c>
      <x:c r="D47" s="4" t="n">
        <x:v>2026</x:v>
      </x:c>
      <x:c r="E47" s="4" t="str">
        <x:v>RS AWD</x:v>
      </x:c>
      <x:c r="F47" s="17" t="n">
        <x:v>44095</x:v>
      </x:c>
      <x:c r="G47" s="4" t="n">
        <x:v>307</x:v>
      </x:c>
      <x:c r="H47" s="4" t="n">
        <x:v>85</x:v>
      </x:c>
      <x:c r="I47" s="20" t="n">
        <x:v>5.8</x:v>
      </x:c>
      <x:c r="J47" s="4" t="n">
        <x:v>150</x:v>
      </x:c>
      <x:c r="K47" s="4" t="str">
        <x:v>SUV</x:v>
      </x:c>
      <x:c r="L47" s="4" t="str">
        <x:v>Small SUV</x:v>
      </x:c>
      <x:c r="M47" s="4" t="n">
        <x:v>5</x:v>
      </x:c>
      <x:c r="N47" s="4" t="n">
        <x:v>26.4</x:v>
      </x:c>
      <x:c r="O47" s="4"/>
      <x:c r="P47" s="4" t="str">
        <x:v>2026-08-21</x:v>
      </x:c>
      <x:c r="Q47" s="4" t="str">
        <x:v>https://evcompare.org/2026/equinox-ev/rs-awd/</x:v>
      </x:c>
      <x:c r="R47" s="4" t="str">
        <x:v>https://www.chevrolet.com/electric/previous-year/equinox-ev</x:v>
      </x:c>
      <x:c r="S47" s="4" t="str">
        <x:v>https://www.fueleconomy.gov/feg/Find.do?action=sbs&amp;id=49955</x:v>
      </x:c>
      <x:c r="T47" s="4" t="str">
        <x:v>https://www.edmunds.com/chevrolet/equinox-ev/2026/features-specs/</x:v>
      </x:c>
      <x:c r="U47" s="4" t="str">
        <x:v>chevrolet-equinox-ev-2026-rs-awd</x:v>
      </x:c>
    </x:row>
    <x:row r="48">
      <x:c r="A48" s="4" t="str">
        <x:v>Older model year · check stock</x:v>
      </x:c>
      <x:c r="B48" s="4" t="str">
        <x:v>Kia</x:v>
      </x:c>
      <x:c r="C48" s="4" t="str">
        <x:v>Niro EV</x:v>
      </x:c>
      <x:c r="D48" s="4" t="n">
        <x:v>2025</x:v>
      </x:c>
      <x:c r="E48" s="4" t="str">
        <x:v>Wave FWD</x:v>
      </x:c>
      <x:c r="F48" s="17" t="n">
        <x:v>44600</x:v>
      </x:c>
      <x:c r="G48" s="4" t="n">
        <x:v>253</x:v>
      </x:c>
      <x:c r="H48" s="4" t="n">
        <x:v>64.8</x:v>
      </x:c>
      <x:c r="I48" s="20" t="n">
        <x:v>7.1</x:v>
      </x:c>
      <x:c r="J48" s="4" t="n">
        <x:v>85</x:v>
      </x:c>
      <x:c r="K48" s="4" t="str">
        <x:v>SUV</x:v>
      </x:c>
      <x:c r="L48" s="4" t="str">
        <x:v>Small SUV</x:v>
      </x:c>
      <x:c r="M48" s="4" t="n">
        <x:v>5</x:v>
      </x:c>
      <x:c r="N48" s="4" t="n">
        <x:v>22.8</x:v>
      </x:c>
      <x:c r="O48" s="4"/>
      <x:c r="P48" s="4" t="str">
        <x:v>2026-08-28</x:v>
      </x:c>
      <x:c r="Q48" s="4" t="str">
        <x:v>https://evcompare.org/2025/niro-ev/wave-fwd/</x:v>
      </x:c>
      <x:c r="R48" s="4" t="str">
        <x:v>https://www.kia.com/us/en/niro-ev</x:v>
      </x:c>
      <x:c r="S48" s="4" t="str">
        <x:v>https://www.fueleconomy.gov/feg/Find.do?action=sbs&amp;id=48370</x:v>
      </x:c>
      <x:c r="T48" s="4" t="str">
        <x:v>https://www.edmunds.com/kia/niro-ev/2025/st-402055750/features-specs/</x:v>
      </x:c>
      <x:c r="U48" s="4" t="str">
        <x:v>kia-niro-ev-2025-wave-fwd</x:v>
      </x:c>
    </x:row>
    <x:row r="49">
      <x:c r="A49" s="4" t="str">
        <x:v>Older model year · check stock</x:v>
      </x:c>
      <x:c r="B49" s="4" t="str">
        <x:v>VinFast</x:v>
      </x:c>
      <x:c r="C49" s="4" t="str">
        <x:v>VF8</x:v>
      </x:c>
      <x:c r="D49" s="4" t="n">
        <x:v>2025</x:v>
      </x:c>
      <x:c r="E49" s="4" t="str">
        <x:v>Plus AWD</x:v>
      </x:c>
      <x:c r="F49" s="17" t="n">
        <x:v>44900</x:v>
      </x:c>
      <x:c r="G49" s="4" t="n">
        <x:v>235</x:v>
      </x:c>
      <x:c r="H49" s="4" t="n">
        <x:v>87.7</x:v>
      </x:c>
      <x:c r="I49" s="20" t="n">
        <x:v>5.5</x:v>
      </x:c>
      <x:c r="J49" s="4" t="n">
        <x:v>150</x:v>
      </x:c>
      <x:c r="K49" s="4" t="str">
        <x:v>SUV</x:v>
      </x:c>
      <x:c r="L49" s="4" t="str">
        <x:v>Special Purpose</x:v>
      </x:c>
      <x:c r="M49" s="4" t="n">
        <x:v>5</x:v>
      </x:c>
      <x:c r="N49" s="4" t="n">
        <x:v>13.2</x:v>
      </x:c>
      <x:c r="O49" s="4"/>
      <x:c r="P49" s="4" t="str">
        <x:v>2026-08-28</x:v>
      </x:c>
      <x:c r="Q49" s="4" t="str">
        <x:v>https://evcompare.org/2025/vf8/plus-awd/</x:v>
      </x:c>
      <x:c r="R49" s="4" t="str">
        <x:v>https://vinfastauto.us/vehicles/vf-8</x:v>
      </x:c>
      <x:c r="S49" s="4" t="str">
        <x:v>https://www.fueleconomy.gov/feg/Find.do?action=sbs&amp;id=49087</x:v>
      </x:c>
      <x:c r="T49" s="4" t="str">
        <x:v>https://www.kbb.com/vinfast/vf-8/2025/</x:v>
      </x:c>
      <x:c r="U49" s="4" t="str">
        <x:v>vinfast-vf8-2025-plus-awd</x:v>
      </x:c>
    </x:row>
    <x:row r="50">
      <x:c r="A50" s="4" t="str">
        <x:v>Older model year · check stock</x:v>
      </x:c>
      <x:c r="B50" s="4" t="str">
        <x:v>Volvo</x:v>
      </x:c>
      <x:c r="C50" s="4" t="str">
        <x:v>EX30</x:v>
      </x:c>
      <x:c r="D50" s="4" t="n">
        <x:v>2025</x:v>
      </x:c>
      <x:c r="E50" s="4" t="str">
        <x:v>Twin Motor Performance</x:v>
      </x:c>
      <x:c r="F50" s="17" t="n">
        <x:v>44900</x:v>
      </x:c>
      <x:c r="G50" s="4" t="n">
        <x:v>253</x:v>
      </x:c>
      <x:c r="H50" s="4" t="n">
        <x:v>64</x:v>
      </x:c>
      <x:c r="I50" s="20" t="n">
        <x:v>3.4</x:v>
      </x:c>
      <x:c r="J50" s="4" t="n">
        <x:v>153</x:v>
      </x:c>
      <x:c r="K50" s="4" t="str">
        <x:v>SUV</x:v>
      </x:c>
      <x:c r="L50" s="4" t="str">
        <x:v>Small SUV</x:v>
      </x:c>
      <x:c r="M50" s="4" t="n">
        <x:v>5</x:v>
      </x:c>
      <x:c r="N50" s="4" t="n">
        <x:v>11.2</x:v>
      </x:c>
      <x:c r="O50" s="4"/>
      <x:c r="P50" s="4" t="str">
        <x:v>2026-08-28</x:v>
      </x:c>
      <x:c r="Q50" s="4" t="str">
        <x:v>https://evcompare.org/2025/ex30/twin-motor-performance/</x:v>
      </x:c>
      <x:c r="R50" s="4" t="str">
        <x:v>https://www.volvocars.com/us/cars/ex30-electric/</x:v>
      </x:c>
      <x:c r="S50" s="4" t="str">
        <x:v>https://www.fueleconomy.gov/feg/Find.do?action=sbs&amp;id=48775</x:v>
      </x:c>
      <x:c r="T50" s="4" t="str">
        <x:v>https://insideevs.com/news/702527/2025-volvo-ex30-range-specs-pricing/</x:v>
      </x:c>
      <x:c r="U50" s="4" t="str">
        <x:v>volvo-ex30-2025-twin-motor-performance</x:v>
      </x:c>
    </x:row>
    <x:row r="51">
      <x:c r="A51" s="4" t="str">
        <x:v>Older model year · check stock</x:v>
      </x:c>
      <x:c r="B51" s="4" t="str">
        <x:v>Subaru</x:v>
      </x:c>
      <x:c r="C51" s="4" t="str">
        <x:v>Solterra</x:v>
      </x:c>
      <x:c r="D51" s="4" t="n">
        <x:v>2025</x:v>
      </x:c>
      <x:c r="E51" s="4" t="str">
        <x:v>Touring AWD</x:v>
      </x:c>
      <x:c r="F51" s="17" t="n">
        <x:v>44995</x:v>
      </x:c>
      <x:c r="G51" s="4" t="n">
        <x:v>222</x:v>
      </x:c>
      <x:c r="H51" s="4" t="n">
        <x:v>72.8</x:v>
      </x:c>
      <x:c r="I51" s="20" t="n">
        <x:v>6.7</x:v>
      </x:c>
      <x:c r="J51" s="4" t="n">
        <x:v>100</x:v>
      </x:c>
      <x:c r="K51" s="4" t="str">
        <x:v>SUV</x:v>
      </x:c>
      <x:c r="L51" s="4" t="str">
        <x:v>Small SUV</x:v>
      </x:c>
      <x:c r="M51" s="4" t="n">
        <x:v>5</x:v>
      </x:c>
      <x:c r="N51" s="4" t="n">
        <x:v>23.8</x:v>
      </x:c>
      <x:c r="O51" s="4"/>
      <x:c r="P51" s="4" t="str">
        <x:v>2026-08-28</x:v>
      </x:c>
      <x:c r="Q51" s="4" t="str">
        <x:v>https://evcompare.org/2025/solterra/touring-awd/</x:v>
      </x:c>
      <x:c r="R51" s="4" t="str">
        <x:v>https://www.subaru.com/vehicles/solterra/2025/specs-trim.html</x:v>
      </x:c>
      <x:c r="S51" s="4" t="str">
        <x:v>https://www.fueleconomy.gov/feg/Find.do?action=sbs&amp;id=48763</x:v>
      </x:c>
      <x:c r="T51" s="4" t="str">
        <x:v>https://www.edmunds.com/subaru/solterra/2025/st-402062514/features-specs/</x:v>
      </x:c>
      <x:c r="U51" s="4" t="str">
        <x:v>subaru-solterra-2025-touring-awd</x:v>
      </x:c>
    </x:row>
    <x:row r="52">
      <x:c r="A52" s="4" t="str">
        <x:v>Older model year · check stock</x:v>
      </x:c>
      <x:c r="B52" s="4" t="str">
        <x:v>MINI</x:v>
      </x:c>
      <x:c r="C52" s="4" t="str">
        <x:v>Countryman Electric</x:v>
      </x:c>
      <x:c r="D52" s="4" t="n">
        <x:v>2025</x:v>
      </x:c>
      <x:c r="E52" s="4" t="str">
        <x:v>SE ALL4</x:v>
      </x:c>
      <x:c r="F52" s="17" t="n">
        <x:v>45200</x:v>
      </x:c>
      <x:c r="G52" s="4" t="n">
        <x:v>212</x:v>
      </x:c>
      <x:c r="H52" s="4" t="n">
        <x:v>64.7</x:v>
      </x:c>
      <x:c r="I52" s="20" t="n">
        <x:v>5.4</x:v>
      </x:c>
      <x:c r="J52" s="4" t="n">
        <x:v>130</x:v>
      </x:c>
      <x:c r="K52" s="4" t="str">
        <x:v>SUV</x:v>
      </x:c>
      <x:c r="L52" s="4" t="str">
        <x:v>Small SUV</x:v>
      </x:c>
      <x:c r="M52" s="4" t="n">
        <x:v>5</x:v>
      </x:c>
      <x:c r="N52" s="4" t="n">
        <x:v>16.2</x:v>
      </x:c>
      <x:c r="O52" s="4"/>
      <x:c r="P52" s="4" t="str">
        <x:v>2026-08-28</x:v>
      </x:c>
      <x:c r="Q52" s="4" t="str">
        <x:v>https://evcompare.org/2025/countryman-electric/se-all4/</x:v>
      </x:c>
      <x:c r="R52" s="4" t="str">
        <x:v>https://www.miniusa.com/model/electric-vehicles/countryman.html</x:v>
      </x:c>
      <x:c r="S52" s="4" t="str">
        <x:v>https://www.fueleconomy.gov/feg/Find.do?action=sbs&amp;id=48398</x:v>
      </x:c>
      <x:c r="T52" s="4" t="str">
        <x:v>https://www.cars.com/articles/2025-mini-countryman-se-all4-quick-spin-now-fully-electric-507768/</x:v>
      </x:c>
      <x:c r="U52" s="4" t="str">
        <x:v>mini-countryman-electric-2025-se-all4</x:v>
      </x:c>
    </x:row>
    <x:row r="53">
      <x:c r="A53" s="4" t="str">
        <x:v>Older model year · check stock</x:v>
      </x:c>
      <x:c r="B53" s="4" t="str">
        <x:v>Honda</x:v>
      </x:c>
      <x:c r="C53" s="4" t="str">
        <x:v>Prologue</x:v>
      </x:c>
      <x:c r="D53" s="4" t="n">
        <x:v>2025</x:v>
      </x:c>
      <x:c r="E53" s="4" t="str">
        <x:v>EX FWD</x:v>
      </x:c>
      <x:c r="F53" s="17" t="n">
        <x:v>47400</x:v>
      </x:c>
      <x:c r="G53" s="4" t="n">
        <x:v>308</x:v>
      </x:c>
      <x:c r="H53" s="4" t="n">
        <x:v>85</x:v>
      </x:c>
      <x:c r="I53" s="20" t="n">
        <x:v>6.7</x:v>
      </x:c>
      <x:c r="J53" s="4" t="n">
        <x:v>150</x:v>
      </x:c>
      <x:c r="K53" s="4" t="str">
        <x:v>SUV</x:v>
      </x:c>
      <x:c r="L53" s="4" t="str">
        <x:v>Standard SUV</x:v>
      </x:c>
      <x:c r="M53" s="4" t="n">
        <x:v>5</x:v>
      </x:c>
      <x:c r="N53" s="4" t="n">
        <x:v>25.2</x:v>
      </x:c>
      <x:c r="O53" s="4"/>
      <x:c r="P53" s="4" t="str">
        <x:v>2026-08-28</x:v>
      </x:c>
      <x:c r="Q53" s="4" t="str">
        <x:v>https://evcompare.org/2025/prologue/ex-fwd/</x:v>
      </x:c>
      <x:c r="R53" s="4" t="str">
        <x:v>https://automobiles.honda.com/prologue</x:v>
      </x:c>
      <x:c r="S53" s="4" t="str">
        <x:v>https://www.fueleconomy.gov/feg/Find.do?action=sbs&amp;id=49091</x:v>
      </x:c>
      <x:c r="T53" s="4" t="str">
        <x:v>https://www.caranddriver.com/honda/prologue</x:v>
      </x:c>
      <x:c r="U53" s="4" t="str">
        <x:v>honda-prologue-2025-ex-fwd</x:v>
      </x:c>
    </x:row>
    <x:row r="54">
      <x:c r="A54" s="4" t="str">
        <x:v>Alternate configuration</x:v>
      </x:c>
      <x:c r="B54" s="4" t="str">
        <x:v>Toyota</x:v>
      </x:c>
      <x:c r="C54" s="4" t="str">
        <x:v>bZ Woodland</x:v>
      </x:c>
      <x:c r="D54" s="4" t="n">
        <x:v>2026</x:v>
      </x:c>
      <x:c r="E54" s="4" t="str">
        <x:v>Woodland Premium</x:v>
      </x:c>
      <x:c r="F54" s="17" t="n">
        <x:v>47400</x:v>
      </x:c>
      <x:c r="G54" s="4" t="n">
        <x:v>281</x:v>
      </x:c>
      <x:c r="H54" s="4" t="n">
        <x:v>74.7</x:v>
      </x:c>
      <x:c r="I54" s="20" t="n">
        <x:v>4.4</x:v>
      </x:c>
      <x:c r="J54" s="4" t="n">
        <x:v>150</x:v>
      </x:c>
      <x:c r="K54" s="4" t="str">
        <x:v>SUV</x:v>
      </x:c>
      <x:c r="L54" s="4" t="str">
        <x:v>Small SUV</x:v>
      </x:c>
      <x:c r="M54" s="4" t="n">
        <x:v>5</x:v>
      </x:c>
      <x:c r="N54" s="4"/>
      <x:c r="O54" s="4"/>
      <x:c r="P54" s="4" t="str">
        <x:v>2026-08-28</x:v>
      </x:c>
      <x:c r="Q54" s="4" t="str">
        <x:v>https://evcompare.org/2026/bz-woodland/woodland-premium/</x:v>
      </x:c>
      <x:c r="R54" s="4" t="str">
        <x:v>https://www.toyota.com/bzwoodland/</x:v>
      </x:c>
      <x:c r="S54" s="4" t="str">
        <x:v>https://www.fueleconomy.gov/feg/Find.do?action=sbs&amp;id=50305</x:v>
      </x:c>
      <x:c r="T54" s="4" t="str">
        <x:v>https://insideevs.com/reviews/787449/toyota-bz-woodland-ev-review-2026/</x:v>
      </x:c>
      <x:c r="U54" s="4" t="str">
        <x:v>toyota-bz-woodland-2026-woodland-premium</x:v>
      </x:c>
    </x:row>
    <x:row r="55">
      <x:c r="A55" s="4" t="str">
        <x:v>Alternate configuration</x:v>
      </x:c>
      <x:c r="B55" s="4" t="str">
        <x:v>Chevrolet</x:v>
      </x:c>
      <x:c r="C55" s="4" t="str">
        <x:v>Blazer EV</x:v>
      </x:c>
      <x:c r="D55" s="4" t="n">
        <x:v>2026</x:v>
      </x:c>
      <x:c r="E55" s="4" t="str">
        <x:v>LT AWD</x:v>
      </x:c>
      <x:c r="F55" s="17" t="n">
        <x:v>47700</x:v>
      </x:c>
      <x:c r="G55" s="4" t="n">
        <x:v>283</x:v>
      </x:c>
      <x:c r="H55" s="4" t="n">
        <x:v>85</x:v>
      </x:c>
      <x:c r="I55" s="20" t="n">
        <x:v>6</x:v>
      </x:c>
      <x:c r="J55" s="4" t="n">
        <x:v>150</x:v>
      </x:c>
      <x:c r="K55" s="4" t="str">
        <x:v>SUV</x:v>
      </x:c>
      <x:c r="L55" s="4" t="str">
        <x:v>Small SUV</x:v>
      </x:c>
      <x:c r="M55" s="4" t="n">
        <x:v>5</x:v>
      </x:c>
      <x:c r="N55" s="4" t="n">
        <x:v>25.5</x:v>
      </x:c>
      <x:c r="O55" s="4"/>
      <x:c r="P55" s="4" t="str">
        <x:v>2026-08-21</x:v>
      </x:c>
      <x:c r="Q55" s="4" t="str">
        <x:v>https://evcompare.org/2026/blazer-ev/lt-awd/</x:v>
      </x:c>
      <x:c r="R55" s="4" t="str">
        <x:v>https://www.chevrolet.com/electric/previous-year/blazer-ev</x:v>
      </x:c>
      <x:c r="S55" s="4" t="str">
        <x:v>https://www.fueleconomy.gov/feg/Find.do?action=sbs&amp;id=49646</x:v>
      </x:c>
      <x:c r="T55" s="4" t="str">
        <x:v>https://www.edmunds.com/chevrolet/blazer-ev/2026/features-specs/</x:v>
      </x:c>
      <x:c r="U55" s="4" t="str">
        <x:v>chevrolet-blazer-ev-2026-lt-awd</x:v>
      </x:c>
    </x:row>
    <x:row r="56">
      <x:c r="A56" s="4" t="str">
        <x:v>Older model year · check stock</x:v>
      </x:c>
      <x:c r="B56" s="4" t="str">
        <x:v>Audi</x:v>
      </x:c>
      <x:c r="C56" s="4" t="str">
        <x:v>Q4 e-tron</x:v>
      </x:c>
      <x:c r="D56" s="4" t="n">
        <x:v>2025</x:v>
      </x:c>
      <x:c r="E56" s="4" t="str">
        <x:v>Premium 45</x:v>
      </x:c>
      <x:c r="F56" s="17" t="n">
        <x:v>49800</x:v>
      </x:c>
      <x:c r="G56" s="4" t="n">
        <x:v>288</x:v>
      </x:c>
      <x:c r="H56" s="4" t="n">
        <x:v>82</x:v>
      </x:c>
      <x:c r="I56" s="20" t="n">
        <x:v>6.2</x:v>
      </x:c>
      <x:c r="J56" s="4" t="n">
        <x:v>175</x:v>
      </x:c>
      <x:c r="K56" s="4" t="str">
        <x:v>SUV</x:v>
      </x:c>
      <x:c r="L56" s="4" t="str">
        <x:v>Standard SUV</x:v>
      </x:c>
      <x:c r="M56" s="4" t="n">
        <x:v>5</x:v>
      </x:c>
      <x:c r="N56" s="4" t="n">
        <x:v>24.8</x:v>
      </x:c>
      <x:c r="O56" s="4"/>
      <x:c r="P56" s="4" t="str">
        <x:v>2026-08-28</x:v>
      </x:c>
      <x:c r="Q56" s="4" t="str">
        <x:v>https://evcompare.org/2025/q4-e-tron/premium-45/</x:v>
      </x:c>
      <x:c r="R56" s="4" t="str">
        <x:v>https://www.audiusa.com/us/web/en/models/q4/q4-e-tron/2025/overview.html</x:v>
      </x:c>
      <x:c r="S56" s="4" t="str">
        <x:v>https://www.fueleconomy.gov/feg/Find.do?action=sbs&amp;id=48296</x:v>
      </x:c>
      <x:c r="T56" s="4" t="str">
        <x:v>https://www.cars.com/research/audi-q4_e_tron-2025/</x:v>
      </x:c>
      <x:c r="U56" s="4" t="str">
        <x:v>audi-q4-e-tron-2025-premium-45</x:v>
      </x:c>
    </x:row>
    <x:row r="57">
      <x:c r="A57" s="4" t="str">
        <x:v>Alternate configuration</x:v>
      </x:c>
      <x:c r="B57" s="4" t="str">
        <x:v>Mercedes-Benz</x:v>
      </x:c>
      <x:c r="C57" s="4" t="str">
        <x:v>CLA</x:v>
      </x:c>
      <x:c r="D57" s="4" t="n">
        <x:v>2026</x:v>
      </x:c>
      <x:c r="E57" s="4" t="str">
        <x:v>350 4MATIC w/EQ Technology</x:v>
      </x:c>
      <x:c r="F57" s="17" t="n">
        <x:v>49800</x:v>
      </x:c>
      <x:c r="G57" s="4" t="n">
        <x:v>312</x:v>
      </x:c>
      <x:c r="H57" s="4" t="n">
        <x:v>85</x:v>
      </x:c>
      <x:c r="I57" s="20" t="n">
        <x:v>4.8</x:v>
      </x:c>
      <x:c r="J57" s="4" t="n">
        <x:v>320</x:v>
      </x:c>
      <x:c r="K57" s="4" t="str">
        <x:v>Sedan</x:v>
      </x:c>
      <x:c r="L57" s="4" t="str">
        <x:v>Compact Car</x:v>
      </x:c>
      <x:c r="M57" s="4" t="n">
        <x:v>5</x:v>
      </x:c>
      <x:c r="N57" s="4" t="n">
        <x:v>14.3</x:v>
      </x:c>
      <x:c r="O57" s="4"/>
      <x:c r="P57" s="4" t="str">
        <x:v>2026-08-21</x:v>
      </x:c>
      <x:c r="Q57" s="4" t="str">
        <x:v>https://evcompare.org/2026/cla/350-4matic-w-eq-technology/</x:v>
      </x:c>
      <x:c r="R57" s="4" t="str">
        <x:v>https://www.mbusa.com/en/future-vehicles/2026-mercedes-benz-cla-sedan</x:v>
      </x:c>
      <x:c r="S57" s="4" t="str">
        <x:v>https://www.fueleconomy.gov/feg/Find.do?action=sbs&amp;id=50032</x:v>
      </x:c>
      <x:c r="T57" s="4" t="str">
        <x:v>https://www.edmunds.com/mercedes-benz/cla/2026/electric/</x:v>
      </x:c>
      <x:c r="U57" s="4" t="str">
        <x:v>mercedes-benz-cla-2026-350-4matic</x:v>
      </x:c>
    </x:row>
    <x:row r="58">
      <x:c r="A58" s="4" t="str">
        <x:v>Alternate configuration</x:v>
      </x:c>
      <x:c r="B58" s="4" t="str">
        <x:v>Lexus</x:v>
      </x:c>
      <x:c r="C58" s="4" t="str">
        <x:v>ES</x:v>
      </x:c>
      <x:c r="D58" s="4" t="n">
        <x:v>2027</x:v>
      </x:c>
      <x:c r="E58" s="4" t="str">
        <x:v>500e AWD</x:v>
      </x:c>
      <x:c r="F58" s="17" t="n">
        <x:v>50610</x:v>
      </x:c>
      <x:c r="G58" s="4" t="n">
        <x:v>276</x:v>
      </x:c>
      <x:c r="H58" s="4" t="n">
        <x:v>74.7</x:v>
      </x:c>
      <x:c r="I58" s="20" t="n">
        <x:v>5.1</x:v>
      </x:c>
      <x:c r="J58" s="4" t="n">
        <x:v>150</x:v>
      </x:c>
      <x:c r="K58" s="4" t="str">
        <x:v>Sedan</x:v>
      </x:c>
      <x:c r="L58" s="4" t="str">
        <x:v>Midsize Car</x:v>
      </x:c>
      <x:c r="M58" s="4" t="n">
        <x:v>5</x:v>
      </x:c>
      <x:c r="N58" s="4" t="n">
        <x:v>13.3</x:v>
      </x:c>
      <x:c r="O58" s="4" t="str">
        <x:v>2026-09</x:v>
      </x:c>
      <x:c r="P58" s="4" t="str">
        <x:v>2026-08-28</x:v>
      </x:c>
      <x:c r="Q58" s="4" t="str">
        <x:v>https://evcompare.org/2027/es/500e-awd/</x:v>
      </x:c>
      <x:c r="R58" s="4" t="str">
        <x:v>https://pressroom.lexus.com/vehicle/2027-lexus-es-electric/</x:v>
      </x:c>
      <x:c r="S58" s="4" t="str">
        <x:v>https://www.fueleconomy.gov/feg/Find.do?action=sbs&amp;id=50452</x:v>
      </x:c>
      <x:c r="T58" s="4" t="str">
        <x:v>https://pressroom.lexus.com/2027-lexus-es-battery-electric-models-return-with-up-to-307-miles-of-epa-estimated-total-range/</x:v>
      </x:c>
      <x:c r="U58" s="4" t="str">
        <x:v>lexus-es-2027-500e-awd</x:v>
      </x:c>
    </x:row>
    <x:row r="59">
      <x:c r="A59" s="4" t="str">
        <x:v>Older model year · check stock</x:v>
      </x:c>
      <x:c r="B59" s="4" t="str">
        <x:v>Genesis</x:v>
      </x:c>
      <x:c r="C59" s="4" t="str">
        <x:v>GV60</x:v>
      </x:c>
      <x:c r="D59" s="4" t="n">
        <x:v>2025</x:v>
      </x:c>
      <x:c r="E59" s="4" t="str">
        <x:v>Standard RWD</x:v>
      </x:c>
      <x:c r="F59" s="17" t="n">
        <x:v>52350</x:v>
      </x:c>
      <x:c r="G59" s="4" t="n">
        <x:v>294</x:v>
      </x:c>
      <x:c r="H59" s="4" t="n">
        <x:v>77.4</x:v>
      </x:c>
      <x:c r="I59" s="20" t="n">
        <x:v>7.8</x:v>
      </x:c>
      <x:c r="J59" s="4" t="n">
        <x:v>350</x:v>
      </x:c>
      <x:c r="K59" s="4" t="str">
        <x:v>SUV</x:v>
      </x:c>
      <x:c r="L59" s="4" t="str">
        <x:v>Small SUV</x:v>
      </x:c>
      <x:c r="M59" s="4" t="n">
        <x:v>5</x:v>
      </x:c>
      <x:c r="N59" s="4" t="n">
        <x:v>24</x:v>
      </x:c>
      <x:c r="O59" s="4"/>
      <x:c r="P59" s="4" t="str">
        <x:v>2026-08-28</x:v>
      </x:c>
      <x:c r="Q59" s="4" t="str">
        <x:v>https://evcompare.org/2025/gv60/standard-rwd/</x:v>
      </x:c>
      <x:c r="R59" s="4" t="str">
        <x:v>https://www.genesis.com/us/en/gv60/</x:v>
      </x:c>
      <x:c r="S59" s="4" t="str">
        <x:v>https://www.fueleconomy.gov/feg/Find.do?action=sbs&amp;id=48352</x:v>
      </x:c>
      <x:c r="T59" s="4" t="str">
        <x:v>https://www.carsdirect.com/genesis/gv60/2025</x:v>
      </x:c>
      <x:c r="U59" s="4" t="str">
        <x:v>genesis-gv60-2025-standard-rwd</x:v>
      </x:c>
    </x:row>
    <x:row r="60">
      <x:c r="A60" s="4" t="str">
        <x:v>Older model year · check stock</x:v>
      </x:c>
      <x:c r="B60" s="4" t="str">
        <x:v>Cadillac</x:v>
      </x:c>
      <x:c r="C60" s="4" t="str">
        <x:v>Optiq</x:v>
      </x:c>
      <x:c r="D60" s="4" t="n">
        <x:v>2025</x:v>
      </x:c>
      <x:c r="E60" s="4" t="str">
        <x:v>Luxury AWD</x:v>
      </x:c>
      <x:c r="F60" s="17" t="n">
        <x:v>52895</x:v>
      </x:c>
      <x:c r="G60" s="4" t="n">
        <x:v>302</x:v>
      </x:c>
      <x:c r="H60" s="4" t="n">
        <x:v>85</x:v>
      </x:c>
      <x:c r="I60" s="20" t="n">
        <x:v>5.9</x:v>
      </x:c>
      <x:c r="J60" s="4" t="n">
        <x:v>150</x:v>
      </x:c>
      <x:c r="K60" s="4" t="str">
        <x:v>SUV</x:v>
      </x:c>
      <x:c r="L60" s="4" t="str">
        <x:v>Standard SUV</x:v>
      </x:c>
      <x:c r="M60" s="4" t="n">
        <x:v>5</x:v>
      </x:c>
      <x:c r="N60" s="4" t="n">
        <x:v>26</x:v>
      </x:c>
      <x:c r="O60" s="4"/>
      <x:c r="P60" s="4" t="str">
        <x:v>2026-09-01</x:v>
      </x:c>
      <x:c r="Q60" s="4" t="str">
        <x:v>https://evcompare.org/2025/optiq/luxury-awd/</x:v>
      </x:c>
      <x:c r="R60" s="4" t="str">
        <x:v>https://www.cadillac.com/electric/optiq</x:v>
      </x:c>
      <x:c r="S60" s="4" t="str">
        <x:v>https://www.edmunds.com/cadillac/optiq/2025/mpg/</x:v>
      </x:c>
      <x:c r="T60" s="4" t="str">
        <x:v>https://insideevs.com/reviews/754331/2025-cadillac-optiq-ev-review/</x:v>
      </x:c>
      <x:c r="U60" s="4" t="str">
        <x:v>cadillac-optiq-2025-luxury-awd</x:v>
      </x:c>
    </x:row>
    <x:row r="61">
      <x:c r="A61" s="4" t="str">
        <x:v>Older model year · check stock</x:v>
      </x:c>
      <x:c r="B61" s="4" t="str">
        <x:v>Mercedes-Benz</x:v>
      </x:c>
      <x:c r="C61" s="4" t="str">
        <x:v>EQB</x:v>
      </x:c>
      <x:c r="D61" s="4" t="n">
        <x:v>2025</x:v>
      </x:c>
      <x:c r="E61" s="4" t="str">
        <x:v>250+</x:v>
      </x:c>
      <x:c r="F61" s="17" t="n">
        <x:v>53050</x:v>
      </x:c>
      <x:c r="G61" s="4" t="n">
        <x:v>251</x:v>
      </x:c>
      <x:c r="H61" s="4" t="n">
        <x:v>70.5</x:v>
      </x:c>
      <x:c r="I61" s="20" t="n">
        <x:v>8.5</x:v>
      </x:c>
      <x:c r="J61" s="4" t="n">
        <x:v>100</x:v>
      </x:c>
      <x:c r="K61" s="4" t="str">
        <x:v>SUV</x:v>
      </x:c>
      <x:c r="L61" s="4" t="str">
        <x:v>Small SUV</x:v>
      </x:c>
      <x:c r="M61" s="4" t="n">
        <x:v>7</x:v>
      </x:c>
      <x:c r="N61" s="4" t="n">
        <x:v>25.9</x:v>
      </x:c>
      <x:c r="O61" s="4"/>
      <x:c r="P61" s="4" t="str">
        <x:v>2026-08-28</x:v>
      </x:c>
      <x:c r="Q61" s="4" t="str">
        <x:v>https://evcompare.org/2025/eqb/250/</x:v>
      </x:c>
      <x:c r="R61" s="4" t="str">
        <x:v>https://www.mbusa.com/en/vehicles/model/eqb/suv/eqb250w</x:v>
      </x:c>
      <x:c r="S61" s="4" t="str">
        <x:v>https://www.fueleconomy.gov/feg/Find.do?action=sbs&amp;id=49116</x:v>
      </x:c>
      <x:c r="T61" s="4" t="str">
        <x:v>https://www.edmunds.com/mercedes-benz/eqb/</x:v>
      </x:c>
      <x:c r="U61" s="4" t="str">
        <x:v>mercedes-benz-eqb-2025-250-plus</x:v>
      </x:c>
    </x:row>
    <x:row r="62">
      <x:c r="A62" s="4" t="str">
        <x:v>Alternate configuration</x:v>
      </x:c>
      <x:c r="B62" s="4" t="str">
        <x:v>Ford</x:v>
      </x:c>
      <x:c r="C62" s="4" t="str">
        <x:v>Mustang Mach-E</x:v>
      </x:c>
      <x:c r="D62" s="4" t="n">
        <x:v>2026</x:v>
      </x:c>
      <x:c r="E62" s="4" t="str">
        <x:v>GT AWD</x:v>
      </x:c>
      <x:c r="F62" s="17" t="n">
        <x:v>53395</x:v>
      </x:c>
      <x:c r="G62" s="4" t="n">
        <x:v>280</x:v>
      </x:c>
      <x:c r="H62" s="4" t="n">
        <x:v>88</x:v>
      </x:c>
      <x:c r="I62" s="20" t="n">
        <x:v>3.7</x:v>
      </x:c>
      <x:c r="J62" s="4" t="n">
        <x:v>150</x:v>
      </x:c>
      <x:c r="K62" s="4" t="str">
        <x:v>SUV</x:v>
      </x:c>
      <x:c r="L62" s="4" t="str">
        <x:v>Small SUV</x:v>
      </x:c>
      <x:c r="M62" s="4" t="n">
        <x:v>5</x:v>
      </x:c>
      <x:c r="N62" s="4" t="n">
        <x:v>29.7</x:v>
      </x:c>
      <x:c r="O62" s="4"/>
      <x:c r="P62" s="4" t="str">
        <x:v>2026-08-21</x:v>
      </x:c>
      <x:c r="Q62" s="4" t="str">
        <x:v>https://evcompare.org/2026/mustang-mach-e/gt-awd/</x:v>
      </x:c>
      <x:c r="R62" s="4" t="str">
        <x:v>https://www.ford.com/suvs/mach-e/models/gt/</x:v>
      </x:c>
      <x:c r="S62" s="4" t="str">
        <x:v>https://www.fueleconomy.gov/feg/Find.do?action=sbs&amp;id=50202</x:v>
      </x:c>
      <x:c r="T62" s="4" t="str">
        <x:v>https://www.edmunds.com/ford/mustang-mach-e/2026/gt/</x:v>
      </x:c>
      <x:c r="U62" s="4" t="str">
        <x:v>ford-mustang-mach-e-2026-gt-awd</x:v>
      </x:c>
    </x:row>
    <x:row r="63">
      <x:c r="A63" s="4" t="str">
        <x:v>Older model year · check stock</x:v>
      </x:c>
      <x:c r="B63" s="4" t="str">
        <x:v>Cadillac</x:v>
      </x:c>
      <x:c r="C63" s="4" t="str">
        <x:v>Optiq</x:v>
      </x:c>
      <x:c r="D63" s="4" t="n">
        <x:v>2025</x:v>
      </x:c>
      <x:c r="E63" s="4" t="str">
        <x:v>Sport AWD</x:v>
      </x:c>
      <x:c r="F63" s="17" t="n">
        <x:v>53495</x:v>
      </x:c>
      <x:c r="G63" s="4" t="n">
        <x:v>302</x:v>
      </x:c>
      <x:c r="H63" s="4" t="n">
        <x:v>85</x:v>
      </x:c>
      <x:c r="I63" s="20" t="n">
        <x:v>5.9</x:v>
      </x:c>
      <x:c r="J63" s="4" t="n">
        <x:v>150</x:v>
      </x:c>
      <x:c r="K63" s="4" t="str">
        <x:v>SUV</x:v>
      </x:c>
      <x:c r="L63" s="4" t="str">
        <x:v>Standard SUV</x:v>
      </x:c>
      <x:c r="M63" s="4" t="n">
        <x:v>5</x:v>
      </x:c>
      <x:c r="N63" s="4" t="n">
        <x:v>26</x:v>
      </x:c>
      <x:c r="O63" s="4"/>
      <x:c r="P63" s="4" t="str">
        <x:v>2026-09-01</x:v>
      </x:c>
      <x:c r="Q63" s="4" t="str">
        <x:v>https://evcompare.org/2025/optiq/sport-awd/</x:v>
      </x:c>
      <x:c r="R63" s="4" t="str">
        <x:v>https://www.cadillac.com/electric/optiq</x:v>
      </x:c>
      <x:c r="S63" s="4" t="str">
        <x:v>https://www.edmunds.com/cadillac/optiq/2025/mpg/</x:v>
      </x:c>
      <x:c r="T63" s="4" t="str">
        <x:v>https://insideevs.com/reviews/754331/2025-cadillac-optiq-ev-review/</x:v>
      </x:c>
      <x:c r="U63" s="4" t="str">
        <x:v>cadillac-optiq-2025-sport-awd</x:v>
      </x:c>
    </x:row>
    <x:row r="64">
      <x:c r="A64" s="4" t="str">
        <x:v>Outside initial size screen</x:v>
      </x:c>
      <x:c r="B64" s="4" t="str">
        <x:v>Rivian</x:v>
      </x:c>
      <x:c r="C64" s="4" t="str">
        <x:v>R2</x:v>
      </x:c>
      <x:c r="D64" s="4" t="n">
        <x:v>2027</x:v>
      </x:c>
      <x:c r="E64" s="4" t="str">
        <x:v>Premium AWD</x:v>
      </x:c>
      <x:c r="F64" s="17" t="n">
        <x:v>53990</x:v>
      </x:c>
      <x:c r="G64" s="4" t="n">
        <x:v>330</x:v>
      </x:c>
      <x:c r="H64" s="4" t="n">
        <x:v>87.9</x:v>
      </x:c>
      <x:c r="I64" s="20" t="n">
        <x:v>4.6</x:v>
      </x:c>
      <x:c r="J64" s="4" t="n">
        <x:v>210</x:v>
      </x:c>
      <x:c r="K64" s="4" t="str">
        <x:v>SUV</x:v>
      </x:c>
      <x:c r="L64" s="4"/>
      <x:c r="M64" s="4" t="n">
        <x:v>5</x:v>
      </x:c>
      <x:c r="N64" s="4" t="n">
        <x:v>28.7</x:v>
      </x:c>
      <x:c r="O64" s="4"/>
      <x:c r="P64" s="4" t="str">
        <x:v>2026-08-28</x:v>
      </x:c>
      <x:c r="Q64" s="4" t="str">
        <x:v>https://evcompare.org/2027/r2/premium-awd/</x:v>
      </x:c>
      <x:c r="R64" s="4" t="str">
        <x:v>https://rivian.com/r2</x:v>
      </x:c>
      <x:c r="S64" s="4" t="str">
        <x:v>https://electrek.co/2026/03/12/rivian-reveals-full-r2-lineup-pricing-rwd-model/</x:v>
      </x:c>
      <x:c r="T64" s="4" t="str">
        <x:v>https://electrek.co/2026/03/12/rivian-reveals-full-r2-lineup-pricing-rwd-model/</x:v>
      </x:c>
      <x:c r="U64" s="4" t="str">
        <x:v>rivian-r2-2027-premium-awd</x:v>
      </x:c>
    </x:row>
    <x:row r="65">
      <x:c r="A65" s="4" t="str">
        <x:v>Older model year · check stock</x:v>
      </x:c>
      <x:c r="B65" s="4" t="str">
        <x:v>Volkswagen</x:v>
      </x:c>
      <x:c r="C65" s="4" t="str">
        <x:v>ID.4</x:v>
      </x:c>
      <x:c r="D65" s="4" t="n">
        <x:v>2025</x:v>
      </x:c>
      <x:c r="E65" s="4" t="str">
        <x:v>Pro S AWD</x:v>
      </x:c>
      <x:c r="F65" s="17" t="n">
        <x:v>54095</x:v>
      </x:c>
      <x:c r="G65" s="4" t="n">
        <x:v>263</x:v>
      </x:c>
      <x:c r="H65" s="4" t="n">
        <x:v>82</x:v>
      </x:c>
      <x:c r="I65" s="20" t="n">
        <x:v>5.7</x:v>
      </x:c>
      <x:c r="J65" s="4" t="n">
        <x:v>175</x:v>
      </x:c>
      <x:c r="K65" s="4" t="str">
        <x:v>SUV</x:v>
      </x:c>
      <x:c r="L65" s="4" t="str">
        <x:v>Small SUV</x:v>
      </x:c>
      <x:c r="M65" s="4" t="n">
        <x:v>5</x:v>
      </x:c>
      <x:c r="N65" s="4" t="n">
        <x:v>30.3</x:v>
      </x:c>
      <x:c r="O65" s="4"/>
      <x:c r="P65" s="4" t="str">
        <x:v>2026-08-28</x:v>
      </x:c>
      <x:c r="Q65" s="4" t="str">
        <x:v>https://evcompare.org/2025/id-4/pro-s-awd/</x:v>
      </x:c>
      <x:c r="R65" s="4" t="str">
        <x:v>https://www.vw.com/en/models/id-4.html</x:v>
      </x:c>
      <x:c r="S65" s="4" t="str">
        <x:v>https://www.fueleconomy.gov/feg/Find.do?action=sbs&amp;id=48774</x:v>
      </x:c>
      <x:c r="T65" s="4" t="str">
        <x:v>https://www.caranddriver.com/volkswagen/id4</x:v>
      </x:c>
      <x:c r="U65" s="4" t="str">
        <x:v>volkswagen-id4-2025-pro-s-awd</x:v>
      </x:c>
    </x:row>
    <x:row r="66">
      <x:c r="A66" s="4" t="str">
        <x:v>Older model year · check stock</x:v>
      </x:c>
      <x:c r="B66" s="4" t="str">
        <x:v>Nissan</x:v>
      </x:c>
      <x:c r="C66" s="4" t="str">
        <x:v>Ariya</x:v>
      </x:c>
      <x:c r="D66" s="4" t="n">
        <x:v>2025</x:v>
      </x:c>
      <x:c r="E66" s="4" t="str">
        <x:v>Platinum+ e-4ORCE AWD</x:v>
      </x:c>
      <x:c r="F66" s="17" t="n">
        <x:v>54370</x:v>
      </x:c>
      <x:c r="G66" s="4" t="n">
        <x:v>267</x:v>
      </x:c>
      <x:c r="H66" s="4" t="n">
        <x:v>87</x:v>
      </x:c>
      <x:c r="I66" s="20" t="n">
        <x:v>4.8</x:v>
      </x:c>
      <x:c r="J66" s="4" t="n">
        <x:v>130</x:v>
      </x:c>
      <x:c r="K66" s="4" t="str">
        <x:v>SUV</x:v>
      </x:c>
      <x:c r="L66" s="4" t="str">
        <x:v>Small SUV</x:v>
      </x:c>
      <x:c r="M66" s="4" t="n">
        <x:v>5</x:v>
      </x:c>
      <x:c r="N66" s="4" t="n">
        <x:v>27.9</x:v>
      </x:c>
      <x:c r="O66" s="4"/>
      <x:c r="P66" s="4" t="str">
        <x:v>2026-08-28</x:v>
      </x:c>
      <x:c r="Q66" s="4" t="str">
        <x:v>https://evcompare.org/2025/ariya/platinum-e-4orce-awd/</x:v>
      </x:c>
      <x:c r="R66" s="4" t="str">
        <x:v>https://www.nissanusa.com/vehicles/discontinued/ariya.html</x:v>
      </x:c>
      <x:c r="S66" s="4" t="str">
        <x:v>https://www.fueleconomy.gov/feg/Find.do?action=sbs&amp;id=48722</x:v>
      </x:c>
      <x:c r="T66" s="4" t="str">
        <x:v>https://www.edmunds.com/nissan/ariya/2025/st-402061761/features-specs/</x:v>
      </x:c>
      <x:c r="U66" s="4" t="str">
        <x:v>nissan-ariya-2025-platinum-plus-e-4orce-awd</x:v>
      </x:c>
    </x:row>
    <x:row r="67">
      <x:c r="A67" s="4" t="str">
        <x:v>Older model year · check stock</x:v>
      </x:c>
      <x:c r="B67" s="4" t="str">
        <x:v>Hyundai</x:v>
      </x:c>
      <x:c r="C67" s="4" t="str">
        <x:v>Ioniq 6</x:v>
      </x:c>
      <x:c r="D67" s="4" t="n">
        <x:v>2025</x:v>
      </x:c>
      <x:c r="E67" s="4" t="str">
        <x:v>Limited AWD</x:v>
      </x:c>
      <x:c r="F67" s="17" t="n">
        <x:v>54500</x:v>
      </x:c>
      <x:c r="G67" s="4" t="n">
        <x:v>270</x:v>
      </x:c>
      <x:c r="H67" s="4" t="n">
        <x:v>74</x:v>
      </x:c>
      <x:c r="I67" s="20" t="n">
        <x:v>4.6</x:v>
      </x:c>
      <x:c r="J67" s="4" t="n">
        <x:v>233</x:v>
      </x:c>
      <x:c r="K67" s="4" t="str">
        <x:v>Sedan</x:v>
      </x:c>
      <x:c r="L67" s="4" t="str">
        <x:v>Midsize Car</x:v>
      </x:c>
      <x:c r="M67" s="4" t="n">
        <x:v>5</x:v>
      </x:c>
      <x:c r="N67" s="4" t="n">
        <x:v>11.2</x:v>
      </x:c>
      <x:c r="O67" s="4"/>
      <x:c r="P67" s="4" t="str">
        <x:v>2026-08-21</x:v>
      </x:c>
      <x:c r="Q67" s="4" t="str">
        <x:v>https://evcompare.org/2025/ioniq-6/limited-awd/</x:v>
      </x:c>
      <x:c r="R67" s="4" t="str">
        <x:v>https://www.hyundaiusa.com/us/en/vehicles/ioniq-6/limited</x:v>
      </x:c>
      <x:c r="S67" s="4" t="str">
        <x:v>https://www.fueleconomy.gov/feg/Find.do?action=sbs&amp;id=48365</x:v>
      </x:c>
      <x:c r="T67" s="4" t="str">
        <x:v>https://www.motormatchup.com/catalog/Hyundai/IONIQ-6/2025/Limited-AWD</x:v>
      </x:c>
      <x:c r="U67" s="4" t="str">
        <x:v>hyundai-ioniq-6-2025-limited-awd</x:v>
      </x:c>
    </x:row>
    <x:row r="68">
      <x:c r="A68" s="4" t="str">
        <x:v>Outside initial size screen</x:v>
      </x:c>
      <x:c r="B68" s="4" t="str">
        <x:v>Chevrolet</x:v>
      </x:c>
      <x:c r="C68" s="4" t="str">
        <x:v>Silverado EV</x:v>
      </x:c>
      <x:c r="D68" s="4" t="n">
        <x:v>2026</x:v>
      </x:c>
      <x:c r="E68" s="4" t="str">
        <x:v>WT (Standard Range)</x:v>
      </x:c>
      <x:c r="F68" s="17" t="n">
        <x:v>54895</x:v>
      </x:c>
      <x:c r="G68" s="4" t="n">
        <x:v>286</x:v>
      </x:c>
      <x:c r="H68" s="4" t="n">
        <x:v>119</x:v>
      </x:c>
      <x:c r="I68" s="20"/>
      <x:c r="J68" s="4" t="n">
        <x:v>350</x:v>
      </x:c>
      <x:c r="K68" s="4" t="str">
        <x:v>Truck</x:v>
      </x:c>
      <x:c r="L68" s="4" t="str">
        <x:v>Standard Pickup</x:v>
      </x:c>
      <x:c r="M68" s="4" t="n">
        <x:v>5</x:v>
      </x:c>
      <x:c r="N68" s="4" t="str">
        <x:v>N/A</x:v>
      </x:c>
      <x:c r="O68" s="4"/>
      <x:c r="P68" s="4" t="str">
        <x:v>2026-08-28</x:v>
      </x:c>
      <x:c r="Q68" s="4" t="str">
        <x:v>https://evcompare.org/2026/silverado-ev/wt-standard-range/</x:v>
      </x:c>
      <x:c r="R68" s="4" t="str">
        <x:v>https://www.chevrolet.com/electric/silverado-ev</x:v>
      </x:c>
      <x:c r="S68" s="4" t="str">
        <x:v>https://www.fueleconomy.gov/feg/Find.do?action=sbs&amp;id=49642</x:v>
      </x:c>
      <x:c r="T68" s="4" t="str">
        <x:v>https://www.edmunds.com/chevrolet/silverado-ev/</x:v>
      </x:c>
      <x:c r="U68" s="4" t="str">
        <x:v>chevrolet-silverado-ev-2026-wt-standard-range</x:v>
      </x:c>
    </x:row>
    <x:row r="69">
      <x:c r="A69" s="4" t="str">
        <x:v>Outside initial size screen</x:v>
      </x:c>
      <x:c r="B69" s="4" t="str">
        <x:v>Kia</x:v>
      </x:c>
      <x:c r="C69" s="4" t="str">
        <x:v>EV9</x:v>
      </x:c>
      <x:c r="D69" s="4" t="n">
        <x:v>2026</x:v>
      </x:c>
      <x:c r="E69" s="4" t="str">
        <x:v>Light RWD</x:v>
      </x:c>
      <x:c r="F69" s="17" t="n">
        <x:v>54900</x:v>
      </x:c>
      <x:c r="G69" s="4" t="n">
        <x:v>230</x:v>
      </x:c>
      <x:c r="H69" s="4" t="n">
        <x:v>76.1</x:v>
      </x:c>
      <x:c r="I69" s="20" t="n">
        <x:v>7.7</x:v>
      </x:c>
      <x:c r="J69" s="4" t="n">
        <x:v>235</x:v>
      </x:c>
      <x:c r="K69" s="4" t="str">
        <x:v>SUV</x:v>
      </x:c>
      <x:c r="L69" s="4" t="str">
        <x:v>Standard SUV</x:v>
      </x:c>
      <x:c r="M69" s="4" t="n">
        <x:v>7</x:v>
      </x:c>
      <x:c r="N69" s="4" t="n">
        <x:v>20.2</x:v>
      </x:c>
      <x:c r="O69" s="4"/>
      <x:c r="P69" s="4" t="str">
        <x:v>2026-08-21</x:v>
      </x:c>
      <x:c r="Q69" s="4" t="str">
        <x:v>https://evcompare.org/2026/ev9/light-rwd/</x:v>
      </x:c>
      <x:c r="R69" s="4" t="str">
        <x:v>https://www.kia.com/us/en/ev9/specs-compare</x:v>
      </x:c>
      <x:c r="S69" s="4" t="str">
        <x:v>https://www.fueleconomy.gov/feg/Find.do?action=sbs&amp;id=49665</x:v>
      </x:c>
      <x:c r="T69" s="4" t="str">
        <x:v>https://www.kiamedia.com/us/en/models/ev9/2026/specifications</x:v>
      </x:c>
      <x:c r="U69" s="4" t="str">
        <x:v>kia-ev9-2026-light-rwd</x:v>
      </x:c>
    </x:row>
    <x:row r="70">
      <x:c r="A70" s="4" t="str">
        <x:v>Alternate configuration</x:v>
      </x:c>
      <x:c r="B70" s="4" t="str">
        <x:v>Tesla</x:v>
      </x:c>
      <x:c r="C70" s="4" t="str">
        <x:v>Model 3</x:v>
      </x:c>
      <x:c r="D70" s="4" t="n">
        <x:v>2026</x:v>
      </x:c>
      <x:c r="E70" s="4" t="str">
        <x:v>Performance AWD</x:v>
      </x:c>
      <x:c r="F70" s="17" t="n">
        <x:v>54990</x:v>
      </x:c>
      <x:c r="G70" s="4" t="n">
        <x:v>314</x:v>
      </x:c>
      <x:c r="H70" s="4" t="n">
        <x:v>82.1</x:v>
      </x:c>
      <x:c r="I70" s="20" t="n">
        <x:v>2.9</x:v>
      </x:c>
      <x:c r="J70" s="4" t="n">
        <x:v>250</x:v>
      </x:c>
      <x:c r="K70" s="4" t="str">
        <x:v>Sedan</x:v>
      </x:c>
      <x:c r="L70" s="4" t="str">
        <x:v>Midsize Car</x:v>
      </x:c>
      <x:c r="M70" s="4" t="n">
        <x:v>5</x:v>
      </x:c>
      <x:c r="N70" s="4" t="n">
        <x:v>15</x:v>
      </x:c>
      <x:c r="O70" s="4"/>
      <x:c r="P70" s="4" t="str">
        <x:v>2026-08-28</x:v>
      </x:c>
      <x:c r="Q70" s="4" t="str">
        <x:v>https://evcompare.org/2026/model-3/performance-awd/</x:v>
      </x:c>
      <x:c r="R70" s="4" t="str">
        <x:v>https://www.tesla.com/model3-performance</x:v>
      </x:c>
      <x:c r="S70" s="4" t="str">
        <x:v>https://www.fueleconomy.gov/feg/Find.do?action=sbs&amp;id=50250</x:v>
      </x:c>
      <x:c r="T70" s="4" t="str">
        <x:v>https://www.edmunds.com/tesla/model-3/2026/performance/</x:v>
      </x:c>
      <x:c r="U70" s="4" t="str">
        <x:v>tesla-model-3-2026-performance-awd</x:v>
      </x:c>
    </x:row>
    <x:row r="71">
      <x:c r="A71" s="4" t="str">
        <x:v>Outside initial size screen</x:v>
      </x:c>
      <x:c r="B71" s="4" t="str">
        <x:v>Ford</x:v>
      </x:c>
      <x:c r="C71" s="4" t="str">
        <x:v>E-Transit</x:v>
      </x:c>
      <x:c r="D71" s="4" t="n">
        <x:v>2026</x:v>
      </x:c>
      <x:c r="E71" s="4" t="str">
        <x:v>Cargo Van Low Roof RWD</x:v>
      </x:c>
      <x:c r="F71" s="17" t="n">
        <x:v>55355</x:v>
      </x:c>
      <x:c r="G71" s="4" t="n">
        <x:v>159</x:v>
      </x:c>
      <x:c r="H71" s="4" t="n">
        <x:v>89.9</x:v>
      </x:c>
      <x:c r="I71" s="20" t="n">
        <x:v>8.4</x:v>
      </x:c>
      <x:c r="J71" s="4" t="n">
        <x:v>176</x:v>
      </x:c>
      <x:c r="K71" s="4" t="str">
        <x:v>Van</x:v>
      </x:c>
      <x:c r="L71" s="4"/>
      <x:c r="M71" s="4" t="n">
        <x:v>2</x:v>
      </x:c>
      <x:c r="N71" s="4" t="n">
        <x:v>277.7</x:v>
      </x:c>
      <x:c r="O71" s="4"/>
      <x:c r="P71" s="4" t="str">
        <x:v>2026-08-21</x:v>
      </x:c>
      <x:c r="Q71" s="4" t="str">
        <x:v>https://evcompare.org/2026/e-transit/cargo-van-low-roof-rwd/</x:v>
      </x:c>
      <x:c r="R71" s="4" t="str">
        <x:v>https://www.ford.com/commercial-trucks/e-transit/specs/</x:v>
      </x:c>
      <x:c r="S71" s="4" t="str">
        <x:v>https://insideevs.com/news/779514/2026-ford-e-transit-interior-battery-charging-range/</x:v>
      </x:c>
      <x:c r="T71" s="4" t="str">
        <x:v>https://www.edmunds.com/ford/e-transit-cargo-van/2026/features-specs/</x:v>
      </x:c>
      <x:c r="U71" s="4" t="str">
        <x:v>ford-e-transit-2026-cargo-van-low-roof</x:v>
      </x:c>
    </x:row>
    <x:row r="72">
      <x:c r="A72" s="4" t="str">
        <x:v>Outside initial size screen</x:v>
      </x:c>
      <x:c r="B72" s="4" t="str">
        <x:v>Polestar</x:v>
      </x:c>
      <x:c r="C72" s="4" t="str">
        <x:v>4</x:v>
      </x:c>
      <x:c r="D72" s="4" t="n">
        <x:v>2026</x:v>
      </x:c>
      <x:c r="E72" s="4" t="str">
        <x:v>Long Range Single Motor RWD</x:v>
      </x:c>
      <x:c r="F72" s="17" t="n">
        <x:v>56400</x:v>
      </x:c>
      <x:c r="G72" s="4" t="n">
        <x:v>310</x:v>
      </x:c>
      <x:c r="H72" s="4" t="n">
        <x:v>94</x:v>
      </x:c>
      <x:c r="I72" s="20" t="n">
        <x:v>6.9</x:v>
      </x:c>
      <x:c r="J72" s="4" t="n">
        <x:v>200</x:v>
      </x:c>
      <x:c r="K72" s="4" t="str">
        <x:v>SUV</x:v>
      </x:c>
      <x:c r="L72" s="4" t="str">
        <x:v>Standard SUV</x:v>
      </x:c>
      <x:c r="M72" s="4" t="n">
        <x:v>5</x:v>
      </x:c>
      <x:c r="N72" s="4" t="n">
        <x:v>18.6</x:v>
      </x:c>
      <x:c r="O72" s="4"/>
      <x:c r="P72" s="4" t="str">
        <x:v>2026-08-21</x:v>
      </x:c>
      <x:c r="Q72" s="4" t="str">
        <x:v>https://evcompare.org/2026/4/long-range-single-motor-rwd/</x:v>
      </x:c>
      <x:c r="R72" s="4" t="str">
        <x:v>https://www.polestar.com/us/polestar-4-models/polestar-4-coupe/</x:v>
      </x:c>
      <x:c r="S72" s="4" t="str">
        <x:v>https://www.fueleconomy.gov/feg/Find.do?action=sbs&amp;id=50033</x:v>
      </x:c>
      <x:c r="T72" s="4" t="str">
        <x:v>https://www.cars.com/research/polestar-4-2025/</x:v>
      </x:c>
      <x:c r="U72" s="4" t="str">
        <x:v>polestar-4-2026-long-range-single-motor-rwd</x:v>
      </x:c>
    </x:row>
    <x:row r="73">
      <x:c r="A73" s="4" t="str">
        <x:v>Older model year · check stock</x:v>
      </x:c>
      <x:c r="B73" s="4" t="str">
        <x:v>Honda</x:v>
      </x:c>
      <x:c r="C73" s="4" t="str">
        <x:v>Prologue</x:v>
      </x:c>
      <x:c r="D73" s="4" t="n">
        <x:v>2025</x:v>
      </x:c>
      <x:c r="E73" s="4" t="str">
        <x:v>Elite AWD</x:v>
      </x:c>
      <x:c r="F73" s="17" t="n">
        <x:v>57900</x:v>
      </x:c>
      <x:c r="G73" s="4" t="n">
        <x:v>283</x:v>
      </x:c>
      <x:c r="H73" s="4" t="n">
        <x:v>85</x:v>
      </x:c>
      <x:c r="I73" s="20" t="n">
        <x:v>6.4</x:v>
      </x:c>
      <x:c r="J73" s="4" t="n">
        <x:v>150</x:v>
      </x:c>
      <x:c r="K73" s="4" t="str">
        <x:v>SUV</x:v>
      </x:c>
      <x:c r="L73" s="4" t="str">
        <x:v>Standard SUV</x:v>
      </x:c>
      <x:c r="M73" s="4" t="n">
        <x:v>5</x:v>
      </x:c>
      <x:c r="N73" s="4" t="n">
        <x:v>25.2</x:v>
      </x:c>
      <x:c r="O73" s="4"/>
      <x:c r="P73" s="4" t="str">
        <x:v>2026-08-28</x:v>
      </x:c>
      <x:c r="Q73" s="4" t="str">
        <x:v>https://evcompare.org/2025/prologue/elite-awd/</x:v>
      </x:c>
      <x:c r="R73" s="4" t="str">
        <x:v>https://automobiles.honda.com/prologue</x:v>
      </x:c>
      <x:c r="S73" s="4" t="str">
        <x:v>https://www.fueleconomy.gov/feg/Find.do?action=sbs&amp;id=49090</x:v>
      </x:c>
      <x:c r="T73" s="4" t="str">
        <x:v>https://www.caranddriver.com/honda/prologue</x:v>
      </x:c>
      <x:c r="U73" s="4" t="str">
        <x:v>honda-prologue-2025-elite-awd</x:v>
      </x:c>
    </x:row>
    <x:row r="74">
      <x:c r="A74" s="4" t="str">
        <x:v>Outside initial size screen</x:v>
      </x:c>
      <x:c r="B74" s="4" t="str">
        <x:v>Rivian</x:v>
      </x:c>
      <x:c r="C74" s="4" t="str">
        <x:v>R2</x:v>
      </x:c>
      <x:c r="D74" s="4" t="n">
        <x:v>2027</x:v>
      </x:c>
      <x:c r="E74" s="4" t="str">
        <x:v>Performance AWD</x:v>
      </x:c>
      <x:c r="F74" s="17" t="n">
        <x:v>57990</x:v>
      </x:c>
      <x:c r="G74" s="4" t="n">
        <x:v>330</x:v>
      </x:c>
      <x:c r="H74" s="4" t="n">
        <x:v>87.9</x:v>
      </x:c>
      <x:c r="I74" s="20" t="n">
        <x:v>3.6</x:v>
      </x:c>
      <x:c r="J74" s="4" t="n">
        <x:v>210</x:v>
      </x:c>
      <x:c r="K74" s="4" t="str">
        <x:v>SUV</x:v>
      </x:c>
      <x:c r="L74" s="4" t="str">
        <x:v>Standard SUV</x:v>
      </x:c>
      <x:c r="M74" s="4" t="n">
        <x:v>5</x:v>
      </x:c>
      <x:c r="N74" s="4" t="n">
        <x:v>28.7</x:v>
      </x:c>
      <x:c r="O74" s="4" t="str">
        <x:v>2026-06</x:v>
      </x:c>
      <x:c r="P74" s="4" t="str">
        <x:v>2026-08-28</x:v>
      </x:c>
      <x:c r="Q74" s="4" t="str">
        <x:v>https://evcompare.org/2027/r2/performance-awd/</x:v>
      </x:c>
      <x:c r="R74" s="4" t="str">
        <x:v>https://rivian.com/r2</x:v>
      </x:c>
      <x:c r="S74" s="4" t="str">
        <x:v>https://fueleconomy.gov/feg/Find.do?action=sbs&amp;id=50391</x:v>
      </x:c>
      <x:c r="T74" s="4" t="str">
        <x:v>https://www.motor1.com/news/789823/rivian-r2-specs-power-trim-details/</x:v>
      </x:c>
      <x:c r="U74" s="4" t="str">
        <x:v>rivian-r2-2027-performance-awd</x:v>
      </x:c>
    </x:row>
    <x:row r="75">
      <x:c r="A75" s="4" t="str">
        <x:v>Older model year · check stock</x:v>
      </x:c>
      <x:c r="B75" s="4" t="str">
        <x:v>Dodge</x:v>
      </x:c>
      <x:c r="C75" s="4" t="str">
        <x:v>Charger Daytona</x:v>
      </x:c>
      <x:c r="D75" s="4" t="n">
        <x:v>2025</x:v>
      </x:c>
      <x:c r="E75" s="4" t="str">
        <x:v>Scat Pack AWD</x:v>
      </x:c>
      <x:c r="F75" s="17" t="n">
        <x:v>57995</x:v>
      </x:c>
      <x:c r="G75" s="4" t="n">
        <x:v>279</x:v>
      </x:c>
      <x:c r="H75" s="4" t="n">
        <x:v>93.9</x:v>
      </x:c>
      <x:c r="I75" s="20" t="n">
        <x:v>3.3</x:v>
      </x:c>
      <x:c r="J75" s="4" t="n">
        <x:v>183</x:v>
      </x:c>
      <x:c r="K75" s="4" t="str">
        <x:v>Hatchback</x:v>
      </x:c>
      <x:c r="L75" s="4" t="str">
        <x:v>Large Car</x:v>
      </x:c>
      <x:c r="M75" s="4" t="n">
        <x:v>5</x:v>
      </x:c>
      <x:c r="N75" s="4" t="n">
        <x:v>22.75</x:v>
      </x:c>
      <x:c r="O75" s="4"/>
      <x:c r="P75" s="4" t="str">
        <x:v>2026-08-28</x:v>
      </x:c>
      <x:c r="Q75" s="4" t="str">
        <x:v>https://evcompare.org/2025/charger-daytona/scat-pack-awd/</x:v>
      </x:c>
      <x:c r="R75" s="4" t="str">
        <x:v>https://www.dodge.com/charger.html</x:v>
      </x:c>
      <x:c r="S75" s="4" t="str">
        <x:v>https://www.fueleconomy.gov/feg/Find.do?action=sbs&amp;id=49075</x:v>
      </x:c>
      <x:c r="T75" s="4" t="str">
        <x:v>https://cars.usnews.com/cars-trucks/dodge/charger-daytona</x:v>
      </x:c>
      <x:c r="U75" s="4" t="str">
        <x:v>dodge-charger-daytona-2025-scat-pack-awd</x:v>
      </x:c>
    </x:row>
    <x:row r="76">
      <x:c r="A76" s="4" t="str">
        <x:v>Alternate configuration</x:v>
      </x:c>
      <x:c r="B76" s="4" t="str">
        <x:v>Lexus</x:v>
      </x:c>
      <x:c r="C76" s="4" t="str">
        <x:v>RZ</x:v>
      </x:c>
      <x:c r="D76" s="4" t="n">
        <x:v>2026</x:v>
      </x:c>
      <x:c r="E76" s="4" t="str">
        <x:v>550e F SPORT AWD</x:v>
      </x:c>
      <x:c r="F76" s="17" t="n">
        <x:v>58395</x:v>
      </x:c>
      <x:c r="G76" s="4" t="n">
        <x:v>229</x:v>
      </x:c>
      <x:c r="H76" s="4" t="n">
        <x:v>76.96</x:v>
      </x:c>
      <x:c r="I76" s="20" t="n">
        <x:v>4.1</x:v>
      </x:c>
      <x:c r="J76" s="4" t="n">
        <x:v>150</x:v>
      </x:c>
      <x:c r="K76" s="4" t="str">
        <x:v>SUV</x:v>
      </x:c>
      <x:c r="L76" s="4" t="str">
        <x:v>Small SUV</x:v>
      </x:c>
      <x:c r="M76" s="4" t="n">
        <x:v>5</x:v>
      </x:c>
      <x:c r="N76" s="4" t="n">
        <x:v>34.9</x:v>
      </x:c>
      <x:c r="O76" s="4"/>
      <x:c r="P76" s="4" t="str">
        <x:v>2026-08-28</x:v>
      </x:c>
      <x:c r="Q76" s="4" t="str">
        <x:v>https://evcompare.org/2026/rz/550e-f-sport-awd/</x:v>
      </x:c>
      <x:c r="R76" s="4" t="str">
        <x:v>https://www.lexus.com/models/RZ</x:v>
      </x:c>
      <x:c r="S76" s="4" t="str">
        <x:v>https://www.fueleconomy.gov/feg/Find.do?action=sbs&amp;id=50220</x:v>
      </x:c>
      <x:c r="T76" s="4" t="str">
        <x:v>https://pressroom.lexus.com/2026-lexus-rz-adds-more-power-and-performance-2/</x:v>
      </x:c>
      <x:c r="U76" s="4" t="str">
        <x:v>lexus-rz-2026-550e-f-sport-awd</x:v>
      </x:c>
    </x:row>
    <x:row r="77">
      <x:c r="A77" s="4" t="str">
        <x:v>Outside initial size screen</x:v>
      </x:c>
      <x:c r="B77" s="4" t="str">
        <x:v>Genesis</x:v>
      </x:c>
      <x:c r="C77" s="4" t="str">
        <x:v>Electrified GV70</x:v>
      </x:c>
      <x:c r="D77" s="4" t="n">
        <x:v>2027</x:v>
      </x:c>
      <x:c r="E77" s="4" t="str">
        <x:v>AWD</x:v>
      </x:c>
      <x:c r="F77" s="17" t="n">
        <x:v>58500</x:v>
      </x:c>
      <x:c r="G77" s="4" t="n">
        <x:v>250</x:v>
      </x:c>
      <x:c r="H77" s="4" t="n">
        <x:v>84</x:v>
      </x:c>
      <x:c r="I77" s="20"/>
      <x:c r="J77" s="4" t="n">
        <x:v>350</x:v>
      </x:c>
      <x:c r="K77" s="4" t="str">
        <x:v>SUV</x:v>
      </x:c>
      <x:c r="L77" s="4" t="str">
        <x:v>Standard SUV</x:v>
      </x:c>
      <x:c r="M77" s="4" t="n">
        <x:v>5</x:v>
      </x:c>
      <x:c r="N77" s="4" t="n">
        <x:v>28.7</x:v>
      </x:c>
      <x:c r="O77" s="4"/>
      <x:c r="P77" s="4" t="str">
        <x:v>2026-09-02</x:v>
      </x:c>
      <x:c r="Q77" s="4" t="str">
        <x:v>https://evcompare.org/2027/electrified-gv70/awd/</x:v>
      </x:c>
      <x:c r="R77" s="4" t="str">
        <x:v>https://www.genesis.com/us/en/electrified-gv70</x:v>
      </x:c>
      <x:c r="S77" s="4" t="str">
        <x:v>https://www.fueleconomy.gov/feg/Find.do?action=sbs&amp;id=50634</x:v>
      </x:c>
      <x:c r="T77" s="4"/>
      <x:c r="U77" s="4" t="str">
        <x:v>genesis-electrified-gv70-2027-awd</x:v>
      </x:c>
    </x:row>
    <x:row r="78">
      <x:c r="A78" s="4" t="str">
        <x:v>Older model year · check stock</x:v>
      </x:c>
      <x:c r="B78" s="4" t="str">
        <x:v>Cadillac</x:v>
      </x:c>
      <x:c r="C78" s="4" t="str">
        <x:v>Lyriq</x:v>
      </x:c>
      <x:c r="D78" s="4" t="n">
        <x:v>2025</x:v>
      </x:c>
      <x:c r="E78" s="4" t="str">
        <x:v>Luxury RWD</x:v>
      </x:c>
      <x:c r="F78" s="17" t="n">
        <x:v>58590</x:v>
      </x:c>
      <x:c r="G78" s="4" t="n">
        <x:v>326</x:v>
      </x:c>
      <x:c r="H78" s="4" t="n">
        <x:v>102</x:v>
      </x:c>
      <x:c r="I78" s="20" t="n">
        <x:v>5.7</x:v>
      </x:c>
      <x:c r="J78" s="4" t="n">
        <x:v>190</x:v>
      </x:c>
      <x:c r="K78" s="4" t="str">
        <x:v>SUV</x:v>
      </x:c>
      <x:c r="L78" s="4" t="str">
        <x:v>Small SUV</x:v>
      </x:c>
      <x:c r="M78" s="4" t="n">
        <x:v>5</x:v>
      </x:c>
      <x:c r="N78" s="4" t="n">
        <x:v>28</x:v>
      </x:c>
      <x:c r="O78" s="4"/>
      <x:c r="P78" s="4" t="str">
        <x:v>2026-08-28</x:v>
      </x:c>
      <x:c r="Q78" s="4" t="str">
        <x:v>https://evcompare.org/2025/lyriq/luxury-rwd/</x:v>
      </x:c>
      <x:c r="R78" s="4" t="str">
        <x:v>https://www.cadillac.com/electric/lyriq</x:v>
      </x:c>
      <x:c r="S78" s="4" t="str">
        <x:v>https://www.fueleconomy.gov/feg/Find.do?action=sbs&amp;id=48691</x:v>
      </x:c>
      <x:c r="T78" s="4" t="str">
        <x:v>https://www.caranddriver.com/cadillac/lyriq</x:v>
      </x:c>
      <x:c r="U78" s="4" t="str">
        <x:v>cadillac-lyriq-2025-luxury-rwd</x:v>
      </x:c>
    </x:row>
    <x:row r="79">
      <x:c r="A79" s="4" t="str">
        <x:v>Outside initial size screen</x:v>
      </x:c>
      <x:c r="B79" s="4" t="str">
        <x:v>Hyundai</x:v>
      </x:c>
      <x:c r="C79" s="4" t="str">
        <x:v>Ioniq 9</x:v>
      </x:c>
      <x:c r="D79" s="4" t="n">
        <x:v>2026</x:v>
      </x:c>
      <x:c r="E79" s="4" t="str">
        <x:v>S RWD</x:v>
      </x:c>
      <x:c r="F79" s="17" t="n">
        <x:v>58955</x:v>
      </x:c>
      <x:c r="G79" s="4" t="n">
        <x:v>335</x:v>
      </x:c>
      <x:c r="H79" s="4" t="n">
        <x:v>110.3</x:v>
      </x:c>
      <x:c r="I79" s="20" t="n">
        <x:v>8.4</x:v>
      </x:c>
      <x:c r="J79" s="4" t="n">
        <x:v>350</x:v>
      </x:c>
      <x:c r="K79" s="4" t="str">
        <x:v>SUV</x:v>
      </x:c>
      <x:c r="L79" s="4" t="str">
        <x:v>Standard SUV</x:v>
      </x:c>
      <x:c r="M79" s="4" t="n">
        <x:v>7</x:v>
      </x:c>
      <x:c r="N79" s="4" t="n">
        <x:v>21.9</x:v>
      </x:c>
      <x:c r="O79" s="4"/>
      <x:c r="P79" s="4" t="str">
        <x:v>2026-08-28</x:v>
      </x:c>
      <x:c r="Q79" s="4" t="str">
        <x:v>https://evcompare.org/2026/ioniq-9/s-rwd/</x:v>
      </x:c>
      <x:c r="R79" s="4" t="str">
        <x:v>https://www.hyundaiusa.com/us/en/vehicles/ioniq-9</x:v>
      </x:c>
      <x:c r="S79" s="4" t="str">
        <x:v>https://www.fueleconomy.gov/feg/Find.do?action=sbs&amp;id=49661</x:v>
      </x:c>
      <x:c r="T79" s="4" t="str">
        <x:v>https://www.cars.com/research/hyundai-ioniq_9-2026/</x:v>
      </x:c>
      <x:c r="U79" s="4" t="str">
        <x:v>hyundai-ioniq-9-2026-s-rwd</x:v>
      </x:c>
    </x:row>
    <x:row r="80">
      <x:c r="A80" s="4" t="str">
        <x:v>Older model year · check stock</x:v>
      </x:c>
      <x:c r="B80" s="4" t="str">
        <x:v>Audi</x:v>
      </x:c>
      <x:c r="C80" s="4" t="str">
        <x:v>Q4 e-tron</x:v>
      </x:c>
      <x:c r="D80" s="4" t="n">
        <x:v>2025</x:v>
      </x:c>
      <x:c r="E80" s="4" t="str">
        <x:v>Premium Plus 55 quattro</x:v>
      </x:c>
      <x:c r="F80" s="17" t="n">
        <x:v>59000</x:v>
      </x:c>
      <x:c r="G80" s="4" t="n">
        <x:v>258</x:v>
      </x:c>
      <x:c r="H80" s="4" t="n">
        <x:v>82</x:v>
      </x:c>
      <x:c r="I80" s="20" t="n">
        <x:v>5</x:v>
      </x:c>
      <x:c r="J80" s="4" t="n">
        <x:v>175</x:v>
      </x:c>
      <x:c r="K80" s="4" t="str">
        <x:v>SUV</x:v>
      </x:c>
      <x:c r="L80" s="4" t="str">
        <x:v>Standard SUV</x:v>
      </x:c>
      <x:c r="M80" s="4" t="n">
        <x:v>5</x:v>
      </x:c>
      <x:c r="N80" s="4" t="n">
        <x:v>24.8</x:v>
      </x:c>
      <x:c r="O80" s="4"/>
      <x:c r="P80" s="4" t="str">
        <x:v>2026-08-28</x:v>
      </x:c>
      <x:c r="Q80" s="4" t="str">
        <x:v>https://evcompare.org/2025/q4-e-tron/premium-plus-55-quattro/</x:v>
      </x:c>
      <x:c r="R80" s="4" t="str">
        <x:v>https://www.audiusa.com/us/web/en/models/q4/q4-e-tron/2025/overview.html</x:v>
      </x:c>
      <x:c r="S80" s="4" t="str">
        <x:v>https://www.fueleconomy.gov/feg/Find.do?action=sbs&amp;id=48681</x:v>
      </x:c>
      <x:c r="T80" s="4" t="str">
        <x:v>https://www.cars.com/research/audi-q4_e_tron-2025/</x:v>
      </x:c>
      <x:c r="U80" s="4" t="str">
        <x:v>audi-q4-e-tron-2025-premium-plus-55-quattro</x:v>
      </x:c>
    </x:row>
    <x:row r="81">
      <x:c r="A81" s="4" t="str">
        <x:v>Outside initial size screen</x:v>
      </x:c>
      <x:c r="B81" s="4" t="str">
        <x:v>Volvo</x:v>
      </x:c>
      <x:c r="C81" s="4" t="str">
        <x:v>EX60</x:v>
      </x:c>
      <x:c r="D81" s="4" t="n">
        <x:v>2027</x:v>
      </x:c>
      <x:c r="E81" s="4" t="str">
        <x:v>P6 Plus (Single Motor RWD)</x:v>
      </x:c>
      <x:c r="F81" s="17" t="n">
        <x:v>59795</x:v>
      </x:c>
      <x:c r="G81" s="4" t="n">
        <x:v>307</x:v>
      </x:c>
      <x:c r="H81" s="4" t="n">
        <x:v>80</x:v>
      </x:c>
      <x:c r="I81" s="20" t="n">
        <x:v>5.7</x:v>
      </x:c>
      <x:c r="J81" s="4" t="n">
        <x:v>320</x:v>
      </x:c>
      <x:c r="K81" s="4" t="str">
        <x:v>SUV</x:v>
      </x:c>
      <x:c r="L81" s="4" t="str">
        <x:v>Standard SUV</x:v>
      </x:c>
      <x:c r="M81" s="4" t="n">
        <x:v>5</x:v>
      </x:c>
      <x:c r="N81" s="4" t="n">
        <x:v>20.4</x:v>
      </x:c>
      <x:c r="O81" s="4" t="str">
        <x:v>2026-05-18</x:v>
      </x:c>
      <x:c r="P81" s="4" t="str">
        <x:v>2026-09-01</x:v>
      </x:c>
      <x:c r="Q81" s="4" t="str">
        <x:v>https://evcompare.org/2027/ex60/p6-plus-single-motor-rwd/</x:v>
      </x:c>
      <x:c r="R81" s="4" t="str">
        <x:v>https://www.volvocars.com/us/cars/ex60-electric/specifications/</x:v>
      </x:c>
      <x:c r="S81" s="4" t="str">
        <x:v>https://www.volvocars.com/us/cars/ex60-electric/specifications/</x:v>
      </x:c>
      <x:c r="T81" s="4" t="str">
        <x:v>https://www.thedrive.com/car-reviews/2027-volvo-ex60-first-drive-review</x:v>
      </x:c>
      <x:c r="U81" s="4" t="str">
        <x:v>volvo-ex60-2027-p6-plus</x:v>
      </x:c>
    </x:row>
    <x:row r="82">
      <x:c r="A82" s="4" t="str">
        <x:v>Older model year · check stock</x:v>
      </x:c>
      <x:c r="B82" s="4" t="str">
        <x:v>Volkswagen</x:v>
      </x:c>
      <x:c r="C82" s="4" t="str">
        <x:v>ID. Buzz</x:v>
      </x:c>
      <x:c r="D82" s="4" t="n">
        <x:v>2025</x:v>
      </x:c>
      <x:c r="E82" s="4" t="str">
        <x:v>Pro S</x:v>
      </x:c>
      <x:c r="F82" s="17" t="n">
        <x:v>59995</x:v>
      </x:c>
      <x:c r="G82" s="4" t="n">
        <x:v>234</x:v>
      </x:c>
      <x:c r="H82" s="4" t="n">
        <x:v>86</x:v>
      </x:c>
      <x:c r="I82" s="20" t="n">
        <x:v>7.4</x:v>
      </x:c>
      <x:c r="J82" s="4" t="n">
        <x:v>200</x:v>
      </x:c>
      <x:c r="K82" s="4" t="str">
        <x:v>Minivan</x:v>
      </x:c>
      <x:c r="L82" s="4" t="str">
        <x:v>Minivan</x:v>
      </x:c>
      <x:c r="M82" s="4" t="n">
        <x:v>7</x:v>
      </x:c>
      <x:c r="N82" s="4" t="n">
        <x:v>18.6</x:v>
      </x:c>
      <x:c r="O82" s="4"/>
      <x:c r="P82" s="4" t="str">
        <x:v>2026-08-28</x:v>
      </x:c>
      <x:c r="Q82" s="4" t="str">
        <x:v>https://evcompare.org/2025/id-buzz/pro-s/</x:v>
      </x:c>
      <x:c r="R82" s="4" t="str">
        <x:v>https://www.vw.com/idhub/content/dam/onehub_pkw/importers/us/en/showrooms/id-buzz/2025/tech-specs/ID_Buzz_Pro_S_Technical_Data.pdf</x:v>
      </x:c>
      <x:c r="S82" s="4" t="str">
        <x:v>https://www.fueleconomy.gov/feg/Find.do?action=sbs&amp;id=48444</x:v>
      </x:c>
      <x:c r="T82" s="4" t="str">
        <x:v>https://www.edmunds.com/volkswagen/id-buzz/2025/st-401990543/features-specs/</x:v>
      </x:c>
      <x:c r="U82" s="4" t="str">
        <x:v>volkswagen-id-buzz-2025-pro-s-rwd</x:v>
      </x:c>
    </x:row>
    <x:row r="83">
      <x:c r="A83" s="4" t="str">
        <x:v>Older model year · check stock</x:v>
      </x:c>
      <x:c r="B83" s="4" t="str">
        <x:v>Mercedes-Benz</x:v>
      </x:c>
      <x:c r="C83" s="4" t="str">
        <x:v>EQB</x:v>
      </x:c>
      <x:c r="D83" s="4" t="n">
        <x:v>2025</x:v>
      </x:c>
      <x:c r="E83" s="4" t="str">
        <x:v>350 4MATIC</x:v>
      </x:c>
      <x:c r="F83" s="17" t="n">
        <x:v>60850</x:v>
      </x:c>
      <x:c r="G83" s="4" t="n">
        <x:v>207</x:v>
      </x:c>
      <x:c r="H83" s="4" t="n">
        <x:v>70.5</x:v>
      </x:c>
      <x:c r="I83" s="20" t="n">
        <x:v>5.8</x:v>
      </x:c>
      <x:c r="J83" s="4" t="n">
        <x:v>100</x:v>
      </x:c>
      <x:c r="K83" s="4" t="str">
        <x:v>SUV</x:v>
      </x:c>
      <x:c r="L83" s="4" t="str">
        <x:v>Small SUV</x:v>
      </x:c>
      <x:c r="M83" s="4" t="n">
        <x:v>7</x:v>
      </x:c>
      <x:c r="N83" s="4" t="n">
        <x:v>25.9</x:v>
      </x:c>
      <x:c r="O83" s="4"/>
      <x:c r="P83" s="4" t="str">
        <x:v>2026-08-21</x:v>
      </x:c>
      <x:c r="Q83" s="4" t="str">
        <x:v>https://evcompare.org/2025/eqb/350-4matic/</x:v>
      </x:c>
      <x:c r="R83" s="4" t="str">
        <x:v>https://www.mbusa.com/en/vehicles/model/eqb/suv/eqb350w4</x:v>
      </x:c>
      <x:c r="S83" s="4" t="str">
        <x:v>https://www.fueleconomy.gov/feg/Find.do?action=sbs&amp;id=49118</x:v>
      </x:c>
      <x:c r="T83" s="4" t="str">
        <x:v>https://www.edmunds.com/mercedes-benz/eqb/</x:v>
      </x:c>
      <x:c r="U83" s="4" t="str">
        <x:v>mercedes-benz-eqb-2025-350-4matic</x:v>
      </x:c>
    </x:row>
    <x:row r="84">
      <x:c r="A84" s="4" t="str">
        <x:v>Outside initial size screen</x:v>
      </x:c>
      <x:c r="B84" s="4" t="str">
        <x:v>BMW</x:v>
      </x:c>
      <x:c r="C84" s="4" t="str">
        <x:v>iX3</x:v>
      </x:c>
      <x:c r="D84" s="4" t="n">
        <x:v>2027</x:v>
      </x:c>
      <x:c r="E84" s="4" t="str">
        <x:v>50 xDrive</x:v>
      </x:c>
      <x:c r="F84" s="17" t="n">
        <x:v>61500</x:v>
      </x:c>
      <x:c r="G84" s="4" t="n">
        <x:v>434</x:v>
      </x:c>
      <x:c r="H84" s="4" t="n">
        <x:v>112.2</x:v>
      </x:c>
      <x:c r="I84" s="20" t="n">
        <x:v>4.7</x:v>
      </x:c>
      <x:c r="J84" s="4" t="n">
        <x:v>400</x:v>
      </x:c>
      <x:c r="K84" s="4" t="str">
        <x:v>SUV</x:v>
      </x:c>
      <x:c r="L84" s="4" t="str">
        <x:v>Standard SUV</x:v>
      </x:c>
      <x:c r="M84" s="4" t="n">
        <x:v>5</x:v>
      </x:c>
      <x:c r="N84" s="4" t="n">
        <x:v>30.4</x:v>
      </x:c>
      <x:c r="O84" s="4" t="str">
        <x:v>2026-09-25</x:v>
      </x:c>
      <x:c r="P84" s="4" t="str">
        <x:v>2026-08-28</x:v>
      </x:c>
      <x:c r="Q84" s="4" t="str">
        <x:v>https://evcompare.org/2027/ix3/50-xdrive/</x:v>
      </x:c>
      <x:c r="R84" s="4" t="str">
        <x:v>https://www.bmwusa.com/vehicles/x-series/ix3/bmw-ix3.html</x:v>
      </x:c>
      <x:c r="S84" s="4" t="str">
        <x:v>https://www.fueleconomy.gov/feg/Find.do?action=sbs&amp;id=50385</x:v>
      </x:c>
      <x:c r="T84" s="4" t="str">
        <x:v>https://carbuzz.com/2027-bmw-ix3-first-drive-review/</x:v>
      </x:c>
      <x:c r="U84" s="4" t="str">
        <x:v>bmw-ix3-2027-50-xdrive</x:v>
      </x:c>
    </x:row>
    <x:row r="85">
      <x:c r="A85" s="4" t="str">
        <x:v>Older model year · check stock</x:v>
      </x:c>
      <x:c r="B85" s="4" t="str">
        <x:v>Dodge</x:v>
      </x:c>
      <x:c r="C85" s="4" t="str">
        <x:v>Charger Daytona</x:v>
      </x:c>
      <x:c r="D85" s="4" t="n">
        <x:v>2025</x:v>
      </x:c>
      <x:c r="E85" s="4" t="str">
        <x:v>R/T AWD</x:v>
      </x:c>
      <x:c r="F85" s="17" t="n">
        <x:v>61590</x:v>
      </x:c>
      <x:c r="G85" s="4" t="n">
        <x:v>308</x:v>
      </x:c>
      <x:c r="H85" s="4" t="n">
        <x:v>93.9</x:v>
      </x:c>
      <x:c r="I85" s="20" t="n">
        <x:v>4.7</x:v>
      </x:c>
      <x:c r="J85" s="4" t="n">
        <x:v>183</x:v>
      </x:c>
      <x:c r="K85" s="4" t="str">
        <x:v>Hatchback</x:v>
      </x:c>
      <x:c r="L85" s="4" t="str">
        <x:v>Large Car</x:v>
      </x:c>
      <x:c r="M85" s="4" t="n">
        <x:v>5</x:v>
      </x:c>
      <x:c r="N85" s="4" t="n">
        <x:v>22.75</x:v>
      </x:c>
      <x:c r="O85" s="4"/>
      <x:c r="P85" s="4" t="str">
        <x:v>2026-08-28</x:v>
      </x:c>
      <x:c r="Q85" s="4" t="str">
        <x:v>https://evcompare.org/2025/charger-daytona/r-t-awd/</x:v>
      </x:c>
      <x:c r="R85" s="4" t="str">
        <x:v>https://www.dodge.com/charger.html</x:v>
      </x:c>
      <x:c r="S85" s="4" t="str">
        <x:v>https://www.fueleconomy.gov/feg/Find.do?action=sbs&amp;id=48994</x:v>
      </x:c>
      <x:c r="T85" s="4" t="str">
        <x:v>https://cars.usnews.com/cars-trucks/dodge/charger-daytona</x:v>
      </x:c>
      <x:c r="U85" s="4" t="str">
        <x:v>dodge-charger-daytona-2025-rt-awd</x:v>
      </x:c>
    </x:row>
    <x:row r="86">
      <x:c r="A86" s="4" t="str">
        <x:v>Outside initial size screen</x:v>
      </x:c>
      <x:c r="B86" s="4" t="str">
        <x:v>Tesla</x:v>
      </x:c>
      <x:c r="C86" s="4" t="str">
        <x:v>Model Y</x:v>
      </x:c>
      <x:c r="D86" s="4" t="n">
        <x:v>2026</x:v>
      </x:c>
      <x:c r="E86" s="4" t="str">
        <x:v>L</x:v>
      </x:c>
      <x:c r="F86" s="17" t="n">
        <x:v>61990</x:v>
      </x:c>
      <x:c r="G86" s="4" t="n">
        <x:v>325</x:v>
      </x:c>
      <x:c r="H86" s="4" t="n">
        <x:v>79</x:v>
      </x:c>
      <x:c r="I86" s="20" t="n">
        <x:v>4.4</x:v>
      </x:c>
      <x:c r="J86" s="4" t="n">
        <x:v>250</x:v>
      </x:c>
      <x:c r="K86" s="4" t="str">
        <x:v>SUV</x:v>
      </x:c>
      <x:c r="L86" s="4"/>
      <x:c r="M86" s="4" t="n">
        <x:v>6</x:v>
      </x:c>
      <x:c r="N86" s="4"/>
      <x:c r="O86" s="4"/>
      <x:c r="P86" s="4" t="str">
        <x:v>2026-08-28</x:v>
      </x:c>
      <x:c r="Q86" s="4" t="str">
        <x:v>https://evcompare.org/2026/model-y/l/</x:v>
      </x:c>
      <x:c r="R86" s="4" t="str">
        <x:v>https://www.tesla.com/modely</x:v>
      </x:c>
      <x:c r="S86" s="4" t="str">
        <x:v>https://tslna.com/en/tesla-model-y-l-guide-2026/</x:v>
      </x:c>
      <x:c r="T86" s="4" t="str">
        <x:v>https://tslna.com/en/tesla-model-y-l-guide-2026/</x:v>
      </x:c>
      <x:c r="U86" s="4" t="str">
        <x:v>tesla-model-y-2026-l</x:v>
      </x:c>
    </x:row>
    <x:row r="87">
      <x:c r="A87" s="4" t="str">
        <x:v>Outside initial size screen</x:v>
      </x:c>
      <x:c r="B87" s="4" t="str">
        <x:v>Volvo</x:v>
      </x:c>
      <x:c r="C87" s="4" t="str">
        <x:v>EX60</x:v>
      </x:c>
      <x:c r="D87" s="4" t="n">
        <x:v>2027</x:v>
      </x:c>
      <x:c r="E87" s="4" t="str">
        <x:v>P10 AWD Plus (Dual Motor AWD)</x:v>
      </x:c>
      <x:c r="F87" s="17" t="n">
        <x:v>62145</x:v>
      </x:c>
      <x:c r="G87" s="4" t="n">
        <x:v>330</x:v>
      </x:c>
      <x:c r="H87" s="4" t="n">
        <x:v>91</x:v>
      </x:c>
      <x:c r="I87" s="20" t="n">
        <x:v>4.4</x:v>
      </x:c>
      <x:c r="J87" s="4" t="n">
        <x:v>370</x:v>
      </x:c>
      <x:c r="K87" s="4" t="str">
        <x:v>SUV</x:v>
      </x:c>
      <x:c r="L87" s="4" t="str">
        <x:v>Standard SUV</x:v>
      </x:c>
      <x:c r="M87" s="4" t="n">
        <x:v>5</x:v>
      </x:c>
      <x:c r="N87" s="4" t="n">
        <x:v>20.4</x:v>
      </x:c>
      <x:c r="O87" s="4" t="str">
        <x:v>2026-05-18</x:v>
      </x:c>
      <x:c r="P87" s="4" t="str">
        <x:v>2026-09-01</x:v>
      </x:c>
      <x:c r="Q87" s="4" t="str">
        <x:v>https://evcompare.org/2027/ex60/p10-awd-plus-dual-motor-awd/</x:v>
      </x:c>
      <x:c r="R87" s="4" t="str">
        <x:v>https://www.volvocars.com/us/cars/ex60-electric/specifications/</x:v>
      </x:c>
      <x:c r="S87" s="4" t="str">
        <x:v>https://www.fueleconomy.gov/feg/Find.do?action=sbs&amp;id=50696</x:v>
      </x:c>
      <x:c r="T87" s="4" t="str">
        <x:v>https://www.thedrive.com/car-reviews/2027-volvo-ex60-first-drive-review</x:v>
      </x:c>
      <x:c r="U87" s="4" t="str">
        <x:v>volvo-ex60-2027-p10-awd-plus</x:v>
      </x:c>
    </x:row>
    <x:row r="88">
      <x:c r="A88" s="4" t="str">
        <x:v>Alternate configuration</x:v>
      </x:c>
      <x:c r="B88" s="4" t="str">
        <x:v>BMW</x:v>
      </x:c>
      <x:c r="C88" s="4" t="str">
        <x:v>i4</x:v>
      </x:c>
      <x:c r="D88" s="4" t="n">
        <x:v>2026</x:v>
      </x:c>
      <x:c r="E88" s="4" t="str">
        <x:v>xDrive40</x:v>
      </x:c>
      <x:c r="F88" s="17" t="n">
        <x:v>62300</x:v>
      </x:c>
      <x:c r="G88" s="4" t="n">
        <x:v>287</x:v>
      </x:c>
      <x:c r="H88" s="4" t="n">
        <x:v>81.2</x:v>
      </x:c>
      <x:c r="I88" s="20" t="n">
        <x:v>4.9</x:v>
      </x:c>
      <x:c r="J88" s="4" t="n">
        <x:v>205</x:v>
      </x:c>
      <x:c r="K88" s="4" t="str">
        <x:v>Hatchback</x:v>
      </x:c>
      <x:c r="L88" s="4" t="str">
        <x:v>Compact Car</x:v>
      </x:c>
      <x:c r="M88" s="4" t="n">
        <x:v>5</x:v>
      </x:c>
      <x:c r="N88" s="4" t="n">
        <x:v>16.6</x:v>
      </x:c>
      <x:c r="O88" s="4"/>
      <x:c r="P88" s="4" t="str">
        <x:v>2026-09-02</x:v>
      </x:c>
      <x:c r="Q88" s="4" t="str">
        <x:v>https://evcompare.org/2026/i4/xdrive40/</x:v>
      </x:c>
      <x:c r="R88" s="4" t="str">
        <x:v>https://www.bmwusa.com/vehicles/bmw-i-series/i4/bmw-i4-gran-coupe.html</x:v>
      </x:c>
      <x:c r="S88" s="4" t="str">
        <x:v>https://www.fueleconomy.gov/feg/Find.do?action=sbs&amp;id=50192</x:v>
      </x:c>
      <x:c r="T88" s="4" t="str">
        <x:v>https://www.edmunds.com/bmw/i4/2026/</x:v>
      </x:c>
      <x:c r="U88" s="4" t="str">
        <x:v>bmw-i4-2026-xdrive40</x:v>
      </x:c>
    </x:row>
    <x:row r="89">
      <x:c r="A89" s="4" t="str">
        <x:v>Outside initial size screen</x:v>
      </x:c>
      <x:c r="B89" s="4" t="str">
        <x:v>GMC</x:v>
      </x:c>
      <x:c r="C89" s="4" t="str">
        <x:v>Sierra EV</x:v>
      </x:c>
      <x:c r="D89" s="4" t="n">
        <x:v>2026</x:v>
      </x:c>
      <x:c r="E89" s="4" t="str">
        <x:v>Elevation (Standard Range)</x:v>
      </x:c>
      <x:c r="F89" s="17" t="n">
        <x:v>62400</x:v>
      </x:c>
      <x:c r="G89" s="4" t="n">
        <x:v>283</x:v>
      </x:c>
      <x:c r="H89" s="4" t="n">
        <x:v>120</x:v>
      </x:c>
      <x:c r="I89" s="20" t="n">
        <x:v>4.5</x:v>
      </x:c>
      <x:c r="J89" s="4" t="n">
        <x:v>350</x:v>
      </x:c>
      <x:c r="K89" s="4" t="str">
        <x:v>Truck</x:v>
      </x:c>
      <x:c r="L89" s="4" t="str">
        <x:v>Standard Pickup</x:v>
      </x:c>
      <x:c r="M89" s="4" t="n">
        <x:v>5</x:v>
      </x:c>
      <x:c r="N89" s="4" t="str">
        <x:v>N/A</x:v>
      </x:c>
      <x:c r="O89" s="4"/>
      <x:c r="P89" s="4" t="str">
        <x:v>2026-08-28</x:v>
      </x:c>
      <x:c r="Q89" s="4" t="str">
        <x:v>https://evcompare.org/2026/sierra-ev/elevation-standard-range/</x:v>
      </x:c>
      <x:c r="R89" s="4" t="str">
        <x:v>https://www.gmc.com/electric/sierra-ev</x:v>
      </x:c>
      <x:c r="S89" s="4" t="str">
        <x:v>https://www.fueleconomy.gov/feg/Find.do?action=sbs&amp;id=49660</x:v>
      </x:c>
      <x:c r="T89" s="4" t="str">
        <x:v>https://www.cars.com/research/gmc-sierra_ev-2026/</x:v>
      </x:c>
      <x:c r="U89" s="4" t="str">
        <x:v>gmc-sierra-ev-2026-elevation-standard-range</x:v>
      </x:c>
    </x:row>
    <x:row r="90">
      <x:c r="A90" s="4" t="str">
        <x:v>Older model year · check stock</x:v>
      </x:c>
      <x:c r="B90" s="4" t="str">
        <x:v>Cadillac</x:v>
      </x:c>
      <x:c r="C90" s="4" t="str">
        <x:v>Lyriq</x:v>
      </x:c>
      <x:c r="D90" s="4" t="n">
        <x:v>2025</x:v>
      </x:c>
      <x:c r="E90" s="4" t="str">
        <x:v>Sport AWD</x:v>
      </x:c>
      <x:c r="F90" s="17" t="n">
        <x:v>62590</x:v>
      </x:c>
      <x:c r="G90" s="4" t="n">
        <x:v>319</x:v>
      </x:c>
      <x:c r="H90" s="4" t="n">
        <x:v>102</x:v>
      </x:c>
      <x:c r="I90" s="20" t="n">
        <x:v>5.1</x:v>
      </x:c>
      <x:c r="J90" s="4" t="n">
        <x:v>190</x:v>
      </x:c>
      <x:c r="K90" s="4" t="str">
        <x:v>SUV</x:v>
      </x:c>
      <x:c r="L90" s="4" t="str">
        <x:v>Small SUV</x:v>
      </x:c>
      <x:c r="M90" s="4" t="n">
        <x:v>5</x:v>
      </x:c>
      <x:c r="N90" s="4" t="n">
        <x:v>28</x:v>
      </x:c>
      <x:c r="O90" s="4"/>
      <x:c r="P90" s="4" t="str">
        <x:v>2026-08-28</x:v>
      </x:c>
      <x:c r="Q90" s="4" t="str">
        <x:v>https://evcompare.org/2025/lyriq/sport-awd/</x:v>
      </x:c>
      <x:c r="R90" s="4" t="str">
        <x:v>https://www.cadillac.com/electric/lyriq</x:v>
      </x:c>
      <x:c r="S90" s="4" t="str">
        <x:v>https://www.fueleconomy.gov/feg/Find.do?action=sbs&amp;id=48692</x:v>
      </x:c>
      <x:c r="T90" s="4" t="str">
        <x:v>https://www.caranddriver.com/cadillac/lyriq</x:v>
      </x:c>
      <x:c r="U90" s="4" t="str">
        <x:v>cadillac-lyriq-2025-sport-awd</x:v>
      </x:c>
    </x:row>
    <x:row r="91">
      <x:c r="A91" s="4" t="str">
        <x:v>Outside initial size screen</x:v>
      </x:c>
      <x:c r="B91" s="4" t="str">
        <x:v>Polestar</x:v>
      </x:c>
      <x:c r="C91" s="4" t="str">
        <x:v>4</x:v>
      </x:c>
      <x:c r="D91" s="4" t="n">
        <x:v>2026</x:v>
      </x:c>
      <x:c r="E91" s="4" t="str">
        <x:v>Long Range Dual Motor AWD</x:v>
      </x:c>
      <x:c r="F91" s="17" t="n">
        <x:v>62900</x:v>
      </x:c>
      <x:c r="G91" s="4" t="n">
        <x:v>280</x:v>
      </x:c>
      <x:c r="H91" s="4" t="n">
        <x:v>94</x:v>
      </x:c>
      <x:c r="I91" s="20" t="n">
        <x:v>3.7</x:v>
      </x:c>
      <x:c r="J91" s="4" t="n">
        <x:v>200</x:v>
      </x:c>
      <x:c r="K91" s="4" t="str">
        <x:v>SUV</x:v>
      </x:c>
      <x:c r="L91" s="4" t="str">
        <x:v>Standard SUV</x:v>
      </x:c>
      <x:c r="M91" s="4" t="n">
        <x:v>5</x:v>
      </x:c>
      <x:c r="N91" s="4" t="n">
        <x:v>18.6</x:v>
      </x:c>
      <x:c r="O91" s="4"/>
      <x:c r="P91" s="4" t="str">
        <x:v>2026-08-21</x:v>
      </x:c>
      <x:c r="Q91" s="4" t="str">
        <x:v>https://evcompare.org/2026/4/long-range-dual-motor-awd/</x:v>
      </x:c>
      <x:c r="R91" s="4" t="str">
        <x:v>https://www.polestar.com/us/polestar-4-models/polestar-4-coupe/</x:v>
      </x:c>
      <x:c r="S91" s="4" t="str">
        <x:v>https://www.fueleconomy.gov/feg/Find.do?action=sbs&amp;id=50034</x:v>
      </x:c>
      <x:c r="T91" s="4" t="str">
        <x:v>https://www.cars.com/research/polestar-4-2025/</x:v>
      </x:c>
      <x:c r="U91" s="4" t="str">
        <x:v>polestar-4-2026-long-range-dual-motor-awd</x:v>
      </x:c>
    </x:row>
    <x:row r="92">
      <x:c r="A92" s="4" t="str">
        <x:v>Outside initial size screen</x:v>
      </x:c>
      <x:c r="B92" s="4" t="str">
        <x:v>Kia</x:v>
      </x:c>
      <x:c r="C92" s="4" t="str">
        <x:v>EV9</x:v>
      </x:c>
      <x:c r="D92" s="4" t="n">
        <x:v>2026</x:v>
      </x:c>
      <x:c r="E92" s="4" t="str">
        <x:v>Wind AWD</x:v>
      </x:c>
      <x:c r="F92" s="17" t="n">
        <x:v>63900</x:v>
      </x:c>
      <x:c r="G92" s="4" t="n">
        <x:v>283</x:v>
      </x:c>
      <x:c r="H92" s="4" t="n">
        <x:v>99.8</x:v>
      </x:c>
      <x:c r="I92" s="20" t="n">
        <x:v>5.7</x:v>
      </x:c>
      <x:c r="J92" s="4" t="n">
        <x:v>210</x:v>
      </x:c>
      <x:c r="K92" s="4" t="str">
        <x:v>SUV</x:v>
      </x:c>
      <x:c r="L92" s="4" t="str">
        <x:v>Standard SUV</x:v>
      </x:c>
      <x:c r="M92" s="4" t="n">
        <x:v>7</x:v>
      </x:c>
      <x:c r="N92" s="4" t="n">
        <x:v>20.2</x:v>
      </x:c>
      <x:c r="O92" s="4"/>
      <x:c r="P92" s="4" t="str">
        <x:v>2026-08-21</x:v>
      </x:c>
      <x:c r="Q92" s="4" t="str">
        <x:v>https://evcompare.org/2026/ev9/wind-awd/</x:v>
      </x:c>
      <x:c r="R92" s="4" t="str">
        <x:v>https://www.kia.com/us/en/ev9/specs-compare</x:v>
      </x:c>
      <x:c r="S92" s="4" t="str">
        <x:v>https://www.fueleconomy.gov/feg/Find.do?action=sbs&amp;id=49667</x:v>
      </x:c>
      <x:c r="T92" s="4" t="str">
        <x:v>https://www.kiamedia.com/us/en/models/ev9/2026/specifications</x:v>
      </x:c>
      <x:c r="U92" s="4" t="str">
        <x:v>kia-ev9-2026-wind-awd</x:v>
      </x:c>
    </x:row>
    <x:row r="93">
      <x:c r="A93" s="4" t="str">
        <x:v>Older model year · check stock</x:v>
      </x:c>
      <x:c r="B93" s="4" t="str">
        <x:v>Acura</x:v>
      </x:c>
      <x:c r="C93" s="4" t="str">
        <x:v>ZDX</x:v>
      </x:c>
      <x:c r="D93" s="4" t="n">
        <x:v>2024</x:v>
      </x:c>
      <x:c r="E93" s="4" t="str">
        <x:v>A-Spec RWD</x:v>
      </x:c>
      <x:c r="F93" s="17" t="n">
        <x:v>64500</x:v>
      </x:c>
      <x:c r="G93" s="4" t="n">
        <x:v>313</x:v>
      </x:c>
      <x:c r="H93" s="4" t="n">
        <x:v>102</x:v>
      </x:c>
      <x:c r="I93" s="20"/>
      <x:c r="J93" s="4" t="n">
        <x:v>190</x:v>
      </x:c>
      <x:c r="K93" s="4" t="str">
        <x:v>SUV</x:v>
      </x:c>
      <x:c r="L93" s="4" t="str">
        <x:v>Standard SUV</x:v>
      </x:c>
      <x:c r="M93" s="4" t="n">
        <x:v>5</x:v>
      </x:c>
      <x:c r="N93" s="4" t="n">
        <x:v>29.7</x:v>
      </x:c>
      <x:c r="O93" s="4"/>
      <x:c r="P93" s="4" t="str">
        <x:v>2026-08-28</x:v>
      </x:c>
      <x:c r="Q93" s="4" t="str">
        <x:v>https://evcompare.org/2024/zdx/a-spec-rwd/</x:v>
      </x:c>
      <x:c r="R93" s="4" t="str">
        <x:v>https://acuranews.com/en-US/releases/release-50763955e7ef98f595b7e8fb0e005c30-2024-acura-zdx-zdx-type-s-specifications-features</x:v>
      </x:c>
      <x:c r="S93" s="4" t="str">
        <x:v>https://www.fueleconomy.gov/feg/Find.do?action=sbs&amp;id=47809</x:v>
      </x:c>
      <x:c r="T93" s="4" t="str">
        <x:v>https://cars.usnews.com/cars-trucks/acura/zdx</x:v>
      </x:c>
      <x:c r="U93" s="4" t="str">
        <x:v>acura-zdx-2024-a-spec-rwd</x:v>
      </x:c>
    </x:row>
    <x:row r="94">
      <x:c r="A94" s="4" t="str">
        <x:v>Older model year · check stock</x:v>
      </x:c>
      <x:c r="B94" s="4" t="str">
        <x:v>Polestar</x:v>
      </x:c>
      <x:c r="C94" s="4" t="str">
        <x:v>2</x:v>
      </x:c>
      <x:c r="D94" s="4" t="n">
        <x:v>2025</x:v>
      </x:c>
      <x:c r="E94" s="4" t="str">
        <x:v>Long Range Dual Motor with Performance Pack</x:v>
      </x:c>
      <x:c r="F94" s="17" t="n">
        <x:v>64800</x:v>
      </x:c>
      <x:c r="G94" s="4" t="n">
        <x:v>254</x:v>
      </x:c>
      <x:c r="H94" s="4" t="n">
        <x:v>79</x:v>
      </x:c>
      <x:c r="I94" s="20" t="n">
        <x:v>4</x:v>
      </x:c>
      <x:c r="J94" s="4" t="n">
        <x:v>205</x:v>
      </x:c>
      <x:c r="K94" s="4" t="str">
        <x:v>Hatchback</x:v>
      </x:c>
      <x:c r="L94" s="4" t="str">
        <x:v>Midsize Car</x:v>
      </x:c>
      <x:c r="M94" s="4" t="n">
        <x:v>5</x:v>
      </x:c>
      <x:c r="N94" s="4" t="n">
        <x:v>14.4</x:v>
      </x:c>
      <x:c r="O94" s="4"/>
      <x:c r="P94" s="4" t="str">
        <x:v>2026-08-21</x:v>
      </x:c>
      <x:c r="Q94" s="4" t="str">
        <x:v>https://evcompare.org/2025/2/long-range-dual-motor-with-performance-pack/</x:v>
      </x:c>
      <x:c r="R94" s="4" t="str">
        <x:v>https://www.polestar.com/us/polestar-2/specifications/</x:v>
      </x:c>
      <x:c r="S94" s="4" t="str">
        <x:v>https://www.fueleconomy.gov/feg/Find.do?action=sbs&amp;id=48404</x:v>
      </x:c>
      <x:c r="T94" s="4" t="str">
        <x:v>https://www.cars.com/research/polestar-2-2025/</x:v>
      </x:c>
      <x:c r="U94" s="4" t="str">
        <x:v>polestar-2-2025-dual-motor-long-range-awd</x:v>
      </x:c>
    </x:row>
    <x:row r="95">
      <x:c r="A95" s="4" t="str">
        <x:v>Alternate configuration</x:v>
      </x:c>
      <x:c r="B95" s="4" t="str">
        <x:v>Volvo</x:v>
      </x:c>
      <x:c r="C95" s="4" t="str">
        <x:v>EC40</x:v>
      </x:c>
      <x:c r="D95" s="4" t="n">
        <x:v>2026</x:v>
      </x:c>
      <x:c r="E95" s="4" t="str">
        <x:v>Twin Motor AWD</x:v>
      </x:c>
      <x:c r="F95" s="17" t="n">
        <x:v>64995</x:v>
      </x:c>
      <x:c r="G95" s="4" t="n">
        <x:v>268</x:v>
      </x:c>
      <x:c r="H95" s="4" t="n">
        <x:v>79</x:v>
      </x:c>
      <x:c r="I95" s="20" t="n">
        <x:v>4.7</x:v>
      </x:c>
      <x:c r="J95" s="4" t="n">
        <x:v>200</x:v>
      </x:c>
      <x:c r="K95" s="4" t="str">
        <x:v>SUV</x:v>
      </x:c>
      <x:c r="L95" s="4" t="str">
        <x:v>Small SUV</x:v>
      </x:c>
      <x:c r="M95" s="4" t="n">
        <x:v>5</x:v>
      </x:c>
      <x:c r="N95" s="4" t="n">
        <x:v>14.3</x:v>
      </x:c>
      <x:c r="O95" s="4"/>
      <x:c r="P95" s="4" t="str">
        <x:v>2026-08-28</x:v>
      </x:c>
      <x:c r="Q95" s="4" t="str">
        <x:v>https://evcompare.org/2026/ec40/twin-motor-awd/</x:v>
      </x:c>
      <x:c r="R95" s="4" t="str">
        <x:v>https://www.volvocars.com/us/cars/ec40-electric/</x:v>
      </x:c>
      <x:c r="S95" s="4" t="str">
        <x:v>https://www.fueleconomy.gov/feg/Find.do?action=sbs&amp;id=49750</x:v>
      </x:c>
      <x:c r="T95" s="4" t="str">
        <x:v>https://topelectricsuv.com/reviews/volvo-ec40/</x:v>
      </x:c>
      <x:c r="U95" s="4" t="str">
        <x:v>volvo-ec40-2026-twin-motor-awd</x:v>
      </x:c>
    </x:row>
    <x:row r="96">
      <x:c r="A96" s="4" t="str">
        <x:v>Older model year · check stock</x:v>
      </x:c>
      <x:c r="B96" s="4" t="str">
        <x:v>Audi</x:v>
      </x:c>
      <x:c r="C96" s="4" t="str">
        <x:v>Q6 e-tron</x:v>
      </x:c>
      <x:c r="D96" s="4" t="n">
        <x:v>2025</x:v>
      </x:c>
      <x:c r="E96" s="4" t="str">
        <x:v>Premium quattro</x:v>
      </x:c>
      <x:c r="F96" s="17" t="n">
        <x:v>65800</x:v>
      </x:c>
      <x:c r="G96" s="4" t="n">
        <x:v>307</x:v>
      </x:c>
      <x:c r="H96" s="4" t="n">
        <x:v>100</x:v>
      </x:c>
      <x:c r="I96" s="20" t="n">
        <x:v>4.9</x:v>
      </x:c>
      <x:c r="J96" s="4" t="n">
        <x:v>270</x:v>
      </x:c>
      <x:c r="K96" s="4" t="str">
        <x:v>SUV</x:v>
      </x:c>
      <x:c r="L96" s="4" t="str">
        <x:v>Standard SUV</x:v>
      </x:c>
      <x:c r="M96" s="4" t="n">
        <x:v>5</x:v>
      </x:c>
      <x:c r="N96" s="4" t="n">
        <x:v>30.2</x:v>
      </x:c>
      <x:c r="O96" s="4"/>
      <x:c r="P96" s="4" t="str">
        <x:v>2026-08-28</x:v>
      </x:c>
      <x:c r="Q96" s="4" t="str">
        <x:v>https://evcompare.org/2025/q6-e-tron/premium-quattro/</x:v>
      </x:c>
      <x:c r="R96" s="4" t="str">
        <x:v>https://www.audiusa.com/en/models/q6-e-tron/q6-e-tron/2025/overview/</x:v>
      </x:c>
      <x:c r="S96" s="4" t="str">
        <x:v>https://www.fueleconomy.gov/feg/Find.do?action=sbs&amp;id=48297</x:v>
      </x:c>
      <x:c r="T96" s="4" t="str">
        <x:v>https://cars.usnews.com/cars-trucks/audi/q6-e-tron</x:v>
      </x:c>
      <x:c r="U96" s="4" t="str">
        <x:v>audi-q6-e-tron-2025-premium-quattro</x:v>
      </x:c>
    </x:row>
    <x:row r="97">
      <x:c r="A97" s="4" t="str">
        <x:v>Older model year · check stock</x:v>
      </x:c>
      <x:c r="B97" s="4" t="str">
        <x:v>Ford</x:v>
      </x:c>
      <x:c r="C97" s="4" t="str">
        <x:v>F-150 Lightning</x:v>
      </x:c>
      <x:c r="D97" s="4" t="n">
        <x:v>2025</x:v>
      </x:c>
      <x:c r="E97" s="4" t="str">
        <x:v>Flash</x:v>
      </x:c>
      <x:c r="F97" s="17" t="n">
        <x:v>65995</x:v>
      </x:c>
      <x:c r="G97" s="4" t="n">
        <x:v>300</x:v>
      </x:c>
      <x:c r="H97" s="4" t="n">
        <x:v>123</x:v>
      </x:c>
      <x:c r="I97" s="20" t="n">
        <x:v>3.8</x:v>
      </x:c>
      <x:c r="J97" s="4" t="n">
        <x:v>150</x:v>
      </x:c>
      <x:c r="K97" s="4" t="str">
        <x:v>Truck</x:v>
      </x:c>
      <x:c r="L97" s="4" t="str">
        <x:v>Standard Pickup</x:v>
      </x:c>
      <x:c r="M97" s="4" t="n">
        <x:v>5</x:v>
      </x:c>
      <x:c r="N97" s="4" t="str">
        <x:v>N/A</x:v>
      </x:c>
      <x:c r="O97" s="4"/>
      <x:c r="P97" s="4" t="str">
        <x:v>2026-08-28</x:v>
      </x:c>
      <x:c r="Q97" s="4" t="str">
        <x:v>https://evcompare.org/2025/f-150-lightning/flash/</x:v>
      </x:c>
      <x:c r="R97" s="4" t="str">
        <x:v>https://www.ford.com/trucks/f150/f150-lightning/2026/models/</x:v>
      </x:c>
      <x:c r="S97" s="4" t="str">
        <x:v>https://www.fueleconomy.gov/feg/Find.do?action=sbs&amp;id=49077</x:v>
      </x:c>
      <x:c r="T97" s="4" t="str">
        <x:v>https://www.caranddriver.com/ford/f-150-lightning</x:v>
      </x:c>
      <x:c r="U97" s="4" t="str">
        <x:v>ford-f-150-lightning-2025-flash</x:v>
      </x:c>
    </x:row>
    <x:row r="98">
      <x:c r="A98" s="4" t="str">
        <x:v>Outside initial size screen</x:v>
      </x:c>
      <x:c r="B98" s="4" t="str">
        <x:v>Genesis</x:v>
      </x:c>
      <x:c r="C98" s="4" t="str">
        <x:v>Electrified GV70</x:v>
      </x:c>
      <x:c r="D98" s="4" t="n">
        <x:v>2027</x:v>
      </x:c>
      <x:c r="E98" s="4" t="str">
        <x:v>Advanced AWD</x:v>
      </x:c>
      <x:c r="F98" s="17" t="n">
        <x:v>66300</x:v>
      </x:c>
      <x:c r="G98" s="4" t="n">
        <x:v>250</x:v>
      </x:c>
      <x:c r="H98" s="4" t="n">
        <x:v>84</x:v>
      </x:c>
      <x:c r="I98" s="20"/>
      <x:c r="J98" s="4" t="n">
        <x:v>350</x:v>
      </x:c>
      <x:c r="K98" s="4" t="str">
        <x:v>SUV</x:v>
      </x:c>
      <x:c r="L98" s="4" t="str">
        <x:v>Standard SUV</x:v>
      </x:c>
      <x:c r="M98" s="4" t="n">
        <x:v>5</x:v>
      </x:c>
      <x:c r="N98" s="4" t="n">
        <x:v>28.7</x:v>
      </x:c>
      <x:c r="O98" s="4"/>
      <x:c r="P98" s="4" t="str">
        <x:v>2026-09-02</x:v>
      </x:c>
      <x:c r="Q98" s="4" t="str">
        <x:v>https://evcompare.org/2027/electrified-gv70/advanced-awd/</x:v>
      </x:c>
      <x:c r="R98" s="4" t="str">
        <x:v>https://www.genesis.com/us/en/electrified-gv70</x:v>
      </x:c>
      <x:c r="S98" s="4" t="str">
        <x:v>https://www.fueleconomy.gov/feg/Find.do?action=sbs&amp;id=50634</x:v>
      </x:c>
      <x:c r="T98" s="4"/>
      <x:c r="U98" s="4" t="str">
        <x:v>genesis-electrified-gv70-2027-advanced-awd</x:v>
      </x:c>
    </x:row>
    <x:row r="99">
      <x:c r="A99" s="4" t="str">
        <x:v>Outside initial size screen</x:v>
      </x:c>
      <x:c r="B99" s="4" t="str">
        <x:v>Volvo</x:v>
      </x:c>
      <x:c r="C99" s="4" t="str">
        <x:v>EX60</x:v>
      </x:c>
      <x:c r="D99" s="4" t="n">
        <x:v>2027</x:v>
      </x:c>
      <x:c r="E99" s="4" t="str">
        <x:v>P6 Ultra (Single Motor RWD)</x:v>
      </x:c>
      <x:c r="F99" s="17" t="n">
        <x:v>66395</x:v>
      </x:c>
      <x:c r="G99" s="4" t="n">
        <x:v>307</x:v>
      </x:c>
      <x:c r="H99" s="4" t="n">
        <x:v>80</x:v>
      </x:c>
      <x:c r="I99" s="20" t="n">
        <x:v>5.7</x:v>
      </x:c>
      <x:c r="J99" s="4" t="n">
        <x:v>320</x:v>
      </x:c>
      <x:c r="K99" s="4" t="str">
        <x:v>SUV</x:v>
      </x:c>
      <x:c r="L99" s="4" t="str">
        <x:v>Standard SUV</x:v>
      </x:c>
      <x:c r="M99" s="4" t="n">
        <x:v>5</x:v>
      </x:c>
      <x:c r="N99" s="4" t="n">
        <x:v>20.4</x:v>
      </x:c>
      <x:c r="O99" s="4" t="str">
        <x:v>2026-05-18</x:v>
      </x:c>
      <x:c r="P99" s="4" t="str">
        <x:v>2026-09-01</x:v>
      </x:c>
      <x:c r="Q99" s="4" t="str">
        <x:v>https://evcompare.org/2027/ex60/p6-ultra-single-motor-rwd/</x:v>
      </x:c>
      <x:c r="R99" s="4" t="str">
        <x:v>https://www.volvocars.com/us/cars/ex60-electric/specifications/</x:v>
      </x:c>
      <x:c r="S99" s="4" t="str">
        <x:v>https://www.volvocars.com/us/cars/ex60-electric/specifications/</x:v>
      </x:c>
      <x:c r="T99" s="4" t="str">
        <x:v>https://www.thedrive.com/car-reviews/2027-volvo-ex60-first-drive-review</x:v>
      </x:c>
      <x:c r="U99" s="4" t="str">
        <x:v>volvo-ex60-2027-p6-ultra</x:v>
      </x:c>
    </x:row>
    <x:row r="100">
      <x:c r="A100" s="4" t="str">
        <x:v>Outside initial size screen</x:v>
      </x:c>
      <x:c r="B100" s="4" t="str">
        <x:v>Audi</x:v>
      </x:c>
      <x:c r="C100" s="4" t="str">
        <x:v>A6 e-tron</x:v>
      </x:c>
      <x:c r="D100" s="4" t="n">
        <x:v>2027</x:v>
      </x:c>
      <x:c r="E100" s="4" t="str">
        <x:v>Premium</x:v>
      </x:c>
      <x:c r="F100" s="17" t="n">
        <x:v>66700</x:v>
      </x:c>
      <x:c r="G100" s="4" t="n">
        <x:v>348</x:v>
      </x:c>
      <x:c r="H100" s="4" t="n">
        <x:v>94.4</x:v>
      </x:c>
      <x:c r="I100" s="20" t="n">
        <x:v>5.2</x:v>
      </x:c>
      <x:c r="J100" s="4" t="n">
        <x:v>270</x:v>
      </x:c>
      <x:c r="K100" s="4" t="str">
        <x:v>Sedan</x:v>
      </x:c>
      <x:c r="L100" s="4" t="str">
        <x:v>Large Car</x:v>
      </x:c>
      <x:c r="M100" s="4" t="n">
        <x:v>5</x:v>
      </x:c>
      <x:c r="N100" s="4"/>
      <x:c r="O100" s="4"/>
      <x:c r="P100" s="4" t="str">
        <x:v>2026-08-28</x:v>
      </x:c>
      <x:c r="Q100" s="4" t="str">
        <x:v>https://evcompare.org/2027/a6-e-tron/premium/</x:v>
      </x:c>
      <x:c r="R100" s="4" t="str">
        <x:v>https://www.audiusa.com/en/models/a6-e-tron/a6-sportback-e-tron/2027/overview/</x:v>
      </x:c>
      <x:c r="S100" s="4" t="str">
        <x:v>https://www.fueleconomy.gov/feg/Find.do?action=sbs&amp;id=50366</x:v>
      </x:c>
      <x:c r="T100" s="4" t="str">
        <x:v>https://www.edmunds.com/audi/a6-sportback-e-tron/2027/features-specs/</x:v>
      </x:c>
      <x:c r="U100" s="4" t="str">
        <x:v>audi-a6-e-tron-2027-premium</x:v>
      </x:c>
    </x:row>
    <x:row r="101">
      <x:c r="A101" s="4" t="str">
        <x:v>Older model year · check stock</x:v>
      </x:c>
      <x:c r="B101" s="4" t="str">
        <x:v>Polestar</x:v>
      </x:c>
      <x:c r="C101" s="4" t="str">
        <x:v>3</x:v>
      </x:c>
      <x:c r="D101" s="4" t="n">
        <x:v>2025</x:v>
      </x:c>
      <x:c r="E101" s="4" t="str">
        <x:v>Long Range Dual Motor AWD</x:v>
      </x:c>
      <x:c r="F101" s="17" t="n">
        <x:v>67500</x:v>
      </x:c>
      <x:c r="G101" s="4" t="n">
        <x:v>315</x:v>
      </x:c>
      <x:c r="H101" s="4" t="n">
        <x:v>107</x:v>
      </x:c>
      <x:c r="I101" s="20" t="n">
        <x:v>4.8</x:v>
      </x:c>
      <x:c r="J101" s="4" t="n">
        <x:v>250</x:v>
      </x:c>
      <x:c r="K101" s="4" t="str">
        <x:v>SUV</x:v>
      </x:c>
      <x:c r="L101" s="4" t="str">
        <x:v>Standard SUV</x:v>
      </x:c>
      <x:c r="M101" s="4" t="n">
        <x:v>5</x:v>
      </x:c>
      <x:c r="N101" s="4" t="n">
        <x:v>21.1</x:v>
      </x:c>
      <x:c r="O101" s="4"/>
      <x:c r="P101" s="4" t="str">
        <x:v>2026-08-21</x:v>
      </x:c>
      <x:c r="Q101" s="4" t="str">
        <x:v>https://evcompare.org/2025/3/long-range-dual-motor-awd/</x:v>
      </x:c>
      <x:c r="R101" s="4" t="str">
        <x:v>https://www.polestar.com/us/polestar-3/specifications/</x:v>
      </x:c>
      <x:c r="S101" s="4" t="str">
        <x:v>https://www.fueleconomy.gov/feg/Find.do?action=sbs&amp;id=48409</x:v>
      </x:c>
      <x:c r="T101" s="4" t="str">
        <x:v>https://www.cars.com/research/polestar-3-2025/</x:v>
      </x:c>
      <x:c r="U101" s="4" t="str">
        <x:v>polestar-3-2025-long-range-dual-motor-awd</x:v>
      </x:c>
    </x:row>
    <x:row r="102">
      <x:c r="A102" s="4" t="str">
        <x:v>Outside initial size screen</x:v>
      </x:c>
      <x:c r="B102" s="4" t="str">
        <x:v>Volvo</x:v>
      </x:c>
      <x:c r="C102" s="4" t="str">
        <x:v>EX60</x:v>
      </x:c>
      <x:c r="D102" s="4" t="n">
        <x:v>2027</x:v>
      </x:c>
      <x:c r="E102" s="4" t="str">
        <x:v>P10 AWD Ultra (Dual Motor AWD)</x:v>
      </x:c>
      <x:c r="F102" s="17" t="n">
        <x:v>68745</x:v>
      </x:c>
      <x:c r="G102" s="4" t="n">
        <x:v>330</x:v>
      </x:c>
      <x:c r="H102" s="4" t="n">
        <x:v>91</x:v>
      </x:c>
      <x:c r="I102" s="20" t="n">
        <x:v>4.4</x:v>
      </x:c>
      <x:c r="J102" s="4" t="n">
        <x:v>370</x:v>
      </x:c>
      <x:c r="K102" s="4" t="str">
        <x:v>SUV</x:v>
      </x:c>
      <x:c r="L102" s="4" t="str">
        <x:v>Standard SUV</x:v>
      </x:c>
      <x:c r="M102" s="4" t="n">
        <x:v>5</x:v>
      </x:c>
      <x:c r="N102" s="4" t="n">
        <x:v>20.4</x:v>
      </x:c>
      <x:c r="O102" s="4" t="str">
        <x:v>2026-05-18</x:v>
      </x:c>
      <x:c r="P102" s="4" t="str">
        <x:v>2026-09-01</x:v>
      </x:c>
      <x:c r="Q102" s="4" t="str">
        <x:v>https://evcompare.org/2027/ex60/p10-awd-ultra-dual-motor-awd/</x:v>
      </x:c>
      <x:c r="R102" s="4" t="str">
        <x:v>https://www.volvocars.com/us/cars/ex60-electric/specifications/</x:v>
      </x:c>
      <x:c r="S102" s="4" t="str">
        <x:v>https://www.volvocars.com/us/cars/ex60-electric/specifications/</x:v>
      </x:c>
      <x:c r="T102" s="4" t="str">
        <x:v>https://www.thedrive.com/car-reviews/2027-volvo-ex60-first-drive-review</x:v>
      </x:c>
      <x:c r="U102" s="4" t="str">
        <x:v>volvo-ex60-2027-p10-awd-ultra</x:v>
      </x:c>
    </x:row>
    <x:row r="103">
      <x:c r="A103" s="4" t="str">
        <x:v>Older model year · check stock</x:v>
      </x:c>
      <x:c r="B103" s="4" t="str">
        <x:v>Volkswagen</x:v>
      </x:c>
      <x:c r="C103" s="4" t="str">
        <x:v>ID. Buzz</x:v>
      </x:c>
      <x:c r="D103" s="4" t="n">
        <x:v>2025</x:v>
      </x:c>
      <x:c r="E103" s="4" t="str">
        <x:v>Pro S Plus 4MOTION</x:v>
      </x:c>
      <x:c r="F103" s="17" t="n">
        <x:v>68990</x:v>
      </x:c>
      <x:c r="G103" s="4" t="n">
        <x:v>231</x:v>
      </x:c>
      <x:c r="H103" s="4" t="n">
        <x:v>86</x:v>
      </x:c>
      <x:c r="I103" s="20" t="n">
        <x:v>6</x:v>
      </x:c>
      <x:c r="J103" s="4" t="n">
        <x:v>200</x:v>
      </x:c>
      <x:c r="K103" s="4" t="str">
        <x:v>Minivan</x:v>
      </x:c>
      <x:c r="L103" s="4" t="str">
        <x:v>Minivan</x:v>
      </x:c>
      <x:c r="M103" s="4" t="n">
        <x:v>6</x:v>
      </x:c>
      <x:c r="N103" s="4" t="n">
        <x:v>18.6</x:v>
      </x:c>
      <x:c r="O103" s="4"/>
      <x:c r="P103" s="4" t="str">
        <x:v>2026-08-28</x:v>
      </x:c>
      <x:c r="Q103" s="4" t="str">
        <x:v>https://evcompare.org/2025/id-buzz/pro-s-plus-4motion/</x:v>
      </x:c>
      <x:c r="R103" s="4" t="str">
        <x:v>https://www.vw.com/idhub/content/dam/onehub_pkw/importers/us/en/showrooms/id-buzz/2025/tech-specs/ID_Buzz_Pro_S_Plus_with_4MOTION_Technical_Data.pdf</x:v>
      </x:c>
      <x:c r="S103" s="4" t="str">
        <x:v>https://www.fueleconomy.gov/feg/Find.do?action=sbs&amp;id=48445</x:v>
      </x:c>
      <x:c r="T103" s="4" t="str">
        <x:v>https://www.edmunds.com/volkswagen/id-buzz/2025/st-402061745/features-specs/</x:v>
      </x:c>
      <x:c r="U103" s="4" t="str">
        <x:v>volkswagen-id-buzz-2025-pro-s-plus-4motion-awd</x:v>
      </x:c>
    </x:row>
    <x:row r="104">
      <x:c r="A104" s="4" t="str">
        <x:v>Older model year · check stock</x:v>
      </x:c>
      <x:c r="B104" s="4" t="str">
        <x:v>Genesis</x:v>
      </x:c>
      <x:c r="C104" s="4" t="str">
        <x:v>GV60</x:v>
      </x:c>
      <x:c r="D104" s="4" t="n">
        <x:v>2025</x:v>
      </x:c>
      <x:c r="E104" s="4" t="str">
        <x:v>Performance AWD</x:v>
      </x:c>
      <x:c r="F104" s="17" t="n">
        <x:v>69900</x:v>
      </x:c>
      <x:c r="G104" s="4" t="n">
        <x:v>235</x:v>
      </x:c>
      <x:c r="H104" s="4" t="n">
        <x:v>77.4</x:v>
      </x:c>
      <x:c r="I104" s="20" t="n">
        <x:v>4</x:v>
      </x:c>
      <x:c r="J104" s="4" t="n">
        <x:v>350</x:v>
      </x:c>
      <x:c r="K104" s="4" t="str">
        <x:v>SUV</x:v>
      </x:c>
      <x:c r="L104" s="4" t="str">
        <x:v>Small SUV</x:v>
      </x:c>
      <x:c r="M104" s="4" t="n">
        <x:v>5</x:v>
      </x:c>
      <x:c r="N104" s="4" t="n">
        <x:v>24</x:v>
      </x:c>
      <x:c r="O104" s="4"/>
      <x:c r="P104" s="4" t="str">
        <x:v>2026-08-28</x:v>
      </x:c>
      <x:c r="Q104" s="4" t="str">
        <x:v>https://evcompare.org/2025/gv60/performance-awd/</x:v>
      </x:c>
      <x:c r="R104" s="4" t="str">
        <x:v>https://www.genesis.com/us/en/gv60/</x:v>
      </x:c>
      <x:c r="S104" s="4" t="str">
        <x:v>https://www.fueleconomy.gov/feg/Find.do?action=sbs&amp;id=48355</x:v>
      </x:c>
      <x:c r="T104" s="4" t="str">
        <x:v>https://www.carsdirect.com/genesis/gv60/2025</x:v>
      </x:c>
      <x:c r="U104" s="4" t="str">
        <x:v>genesis-gv60-2025-performance-awd</x:v>
      </x:c>
    </x:row>
    <x:row r="105">
      <x:c r="A105" s="4" t="str">
        <x:v>Outside initial size screen</x:v>
      </x:c>
      <x:c r="B105" s="4" t="str">
        <x:v>Tesla</x:v>
      </x:c>
      <x:c r="C105" s="4" t="str">
        <x:v>Cybertruck</x:v>
      </x:c>
      <x:c r="D105" s="4" t="n">
        <x:v>2026</x:v>
      </x:c>
      <x:c r="E105" s="4" t="str">
        <x:v>AWD</x:v>
      </x:c>
      <x:c r="F105" s="17" t="n">
        <x:v>69990</x:v>
      </x:c>
      <x:c r="G105" s="4" t="n">
        <x:v>325</x:v>
      </x:c>
      <x:c r="H105" s="4" t="n">
        <x:v>123</x:v>
      </x:c>
      <x:c r="I105" s="20" t="n">
        <x:v>4.1</x:v>
      </x:c>
      <x:c r="J105" s="4" t="n">
        <x:v>350</x:v>
      </x:c>
      <x:c r="K105" s="4" t="str">
        <x:v>Truck</x:v>
      </x:c>
      <x:c r="L105" s="4" t="str">
        <x:v>Standard Pickup</x:v>
      </x:c>
      <x:c r="M105" s="4" t="n">
        <x:v>5</x:v>
      </x:c>
      <x:c r="N105" s="4" t="str">
        <x:v>N/A</x:v>
      </x:c>
      <x:c r="O105" s="4"/>
      <x:c r="P105" s="4" t="str">
        <x:v>2026-08-21</x:v>
      </x:c>
      <x:c r="Q105" s="4" t="str">
        <x:v>https://evcompare.org/2026/cybertruck/awd/</x:v>
      </x:c>
      <x:c r="R105" s="4" t="str">
        <x:v>https://www.tesla.com/cybertruck</x:v>
      </x:c>
      <x:c r="S105" s="4" t="str">
        <x:v>https://www.fueleconomy.gov/feg/Find.do?action=sbs&amp;id=50460</x:v>
      </x:c>
      <x:c r="T105" s="4" t="str">
        <x:v>https://www.edmunds.com/tesla/cybertruck/</x:v>
      </x:c>
      <x:c r="U105" s="4" t="str">
        <x:v>tesla-cybertruck-2026-awd</x:v>
      </x:c>
    </x:row>
    <x:row r="106">
      <x:c r="A106" s="4" t="str">
        <x:v>Outside initial size screen</x:v>
      </x:c>
      <x:c r="B106" s="4" t="str">
        <x:v>Genesis</x:v>
      </x:c>
      <x:c r="C106" s="4" t="str">
        <x:v>Electrified GV70</x:v>
      </x:c>
      <x:c r="D106" s="4" t="n">
        <x:v>2027</x:v>
      </x:c>
      <x:c r="E106" s="4" t="str">
        <x:v>Prestige AWD</x:v>
      </x:c>
      <x:c r="F106" s="17" t="n">
        <x:v>70650</x:v>
      </x:c>
      <x:c r="G106" s="4" t="n">
        <x:v>250</x:v>
      </x:c>
      <x:c r="H106" s="4" t="n">
        <x:v>84</x:v>
      </x:c>
      <x:c r="I106" s="20"/>
      <x:c r="J106" s="4" t="n">
        <x:v>350</x:v>
      </x:c>
      <x:c r="K106" s="4" t="str">
        <x:v>SUV</x:v>
      </x:c>
      <x:c r="L106" s="4" t="str">
        <x:v>Standard SUV</x:v>
      </x:c>
      <x:c r="M106" s="4" t="n">
        <x:v>5</x:v>
      </x:c>
      <x:c r="N106" s="4" t="n">
        <x:v>28.7</x:v>
      </x:c>
      <x:c r="O106" s="4"/>
      <x:c r="P106" s="4" t="str">
        <x:v>2026-09-02</x:v>
      </x:c>
      <x:c r="Q106" s="4" t="str">
        <x:v>https://evcompare.org/2027/electrified-gv70/prestige-awd/</x:v>
      </x:c>
      <x:c r="R106" s="4" t="str">
        <x:v>https://www.genesis.com/us/en/electrified-gv70</x:v>
      </x:c>
      <x:c r="S106" s="4" t="str">
        <x:v>https://www.fueleconomy.gov/feg/Find.do?action=sbs&amp;id=50634</x:v>
      </x:c>
      <x:c r="T106" s="4"/>
      <x:c r="U106" s="4" t="str">
        <x:v>genesis-electrified-gv70-2027-prestige-awd</x:v>
      </x:c>
    </x:row>
    <x:row r="107">
      <x:c r="A107" s="4" t="str">
        <x:v>Alternate configuration</x:v>
      </x:c>
      <x:c r="B107" s="4" t="str">
        <x:v>BMW</x:v>
      </x:c>
      <x:c r="C107" s="4" t="str">
        <x:v>i4</x:v>
      </x:c>
      <x:c r="D107" s="4" t="n">
        <x:v>2026</x:v>
      </x:c>
      <x:c r="E107" s="4" t="str">
        <x:v>M60 xDrive</x:v>
      </x:c>
      <x:c r="F107" s="17" t="n">
        <x:v>70700</x:v>
      </x:c>
      <x:c r="G107" s="4" t="n">
        <x:v>278</x:v>
      </x:c>
      <x:c r="H107" s="4" t="n">
        <x:v>80.7</x:v>
      </x:c>
      <x:c r="I107" s="20" t="n">
        <x:v>3.6</x:v>
      </x:c>
      <x:c r="J107" s="4" t="n">
        <x:v>205</x:v>
      </x:c>
      <x:c r="K107" s="4" t="str">
        <x:v>Hatchback</x:v>
      </x:c>
      <x:c r="L107" s="4" t="str">
        <x:v>Compact Car</x:v>
      </x:c>
      <x:c r="M107" s="4" t="n">
        <x:v>5</x:v>
      </x:c>
      <x:c r="N107" s="4" t="n">
        <x:v>16.6</x:v>
      </x:c>
      <x:c r="O107" s="4"/>
      <x:c r="P107" s="4" t="str">
        <x:v>2026-08-28</x:v>
      </x:c>
      <x:c r="Q107" s="4" t="str">
        <x:v>https://evcompare.org/2026/i4/m60-xdrive/</x:v>
      </x:c>
      <x:c r="R107" s="4" t="str">
        <x:v>https://www.bmwusa.com/vehicles/m-series/bmw-i4-m60/bmw-i4-m60-gran-coupe.html</x:v>
      </x:c>
      <x:c r="S107" s="4" t="str">
        <x:v>https://www.fueleconomy.gov/feg/Find.do?action=sbs&amp;id=50190</x:v>
      </x:c>
      <x:c r="T107" s="4" t="str">
        <x:v>https://www.edmunds.com/bmw/i4/2026/m60/</x:v>
      </x:c>
      <x:c r="U107" s="4" t="str">
        <x:v>bmw-i4-2026-m60-xdrive</x:v>
      </x:c>
    </x:row>
    <x:row r="108">
      <x:c r="A108" s="4" t="str">
        <x:v>Older model year · check stock</x:v>
      </x:c>
      <x:c r="B108" s="4" t="str">
        <x:v>Lucid</x:v>
      </x:c>
      <x:c r="C108" s="4" t="str">
        <x:v>Air</x:v>
      </x:c>
      <x:c r="D108" s="4" t="n">
        <x:v>2025</x:v>
      </x:c>
      <x:c r="E108" s="4" t="str">
        <x:v>Pure RWD</x:v>
      </x:c>
      <x:c r="F108" s="17" t="n">
        <x:v>70900</x:v>
      </x:c>
      <x:c r="G108" s="4" t="n">
        <x:v>420</x:v>
      </x:c>
      <x:c r="H108" s="4" t="n">
        <x:v>84</x:v>
      </x:c>
      <x:c r="I108" s="20" t="n">
        <x:v>4.5</x:v>
      </x:c>
      <x:c r="J108" s="4"/>
      <x:c r="K108" s="4" t="str">
        <x:v>Sedan</x:v>
      </x:c>
      <x:c r="L108" s="4" t="str">
        <x:v>Large Car</x:v>
      </x:c>
      <x:c r="M108" s="4" t="n">
        <x:v>5</x:v>
      </x:c>
      <x:c r="N108" s="4" t="n">
        <x:v>22.1</x:v>
      </x:c>
      <x:c r="O108" s="4"/>
      <x:c r="P108" s="4" t="str">
        <x:v>2026-08-21</x:v>
      </x:c>
      <x:c r="Q108" s="4" t="str">
        <x:v>https://evcompare.org/2025/air/pure-rwd/</x:v>
      </x:c>
      <x:c r="R108" s="4" t="str">
        <x:v>https://lucidmotors.com/air-pure</x:v>
      </x:c>
      <x:c r="S108" s="4" t="str">
        <x:v>https://www.fueleconomy.gov/feg/Find.do?action=sbs&amp;id=48374</x:v>
      </x:c>
      <x:c r="T108" s="4" t="str">
        <x:v>https://www.cars.com/research/lucid-air-2025/</x:v>
      </x:c>
      <x:c r="U108" s="4" t="str">
        <x:v>lucid-air-2025-pure-rwd</x:v>
      </x:c>
    </x:row>
    <x:row r="109">
      <x:c r="A109" s="4" t="str">
        <x:v>Older model year · check stock</x:v>
      </x:c>
      <x:c r="B109" s="4" t="str">
        <x:v>Jeep</x:v>
      </x:c>
      <x:c r="C109" s="4" t="str">
        <x:v>Wagoneer S</x:v>
      </x:c>
      <x:c r="D109" s="4" t="n">
        <x:v>2025</x:v>
      </x:c>
      <x:c r="E109" s="4" t="str">
        <x:v>Launch Edition AWD</x:v>
      </x:c>
      <x:c r="F109" s="17" t="n">
        <x:v>71995</x:v>
      </x:c>
      <x:c r="G109" s="4" t="n">
        <x:v>294</x:v>
      </x:c>
      <x:c r="H109" s="4" t="n">
        <x:v>100.5</x:v>
      </x:c>
      <x:c r="I109" s="20" t="n">
        <x:v>3.4</x:v>
      </x:c>
      <x:c r="J109" s="4" t="n">
        <x:v>203</x:v>
      </x:c>
      <x:c r="K109" s="4" t="str">
        <x:v>SUV</x:v>
      </x:c>
      <x:c r="L109" s="4" t="str">
        <x:v>Standard SUV</x:v>
      </x:c>
      <x:c r="M109" s="4" t="n">
        <x:v>5</x:v>
      </x:c>
      <x:c r="N109" s="4" t="n">
        <x:v>30.6</x:v>
      </x:c>
      <x:c r="O109" s="4"/>
      <x:c r="P109" s="4" t="str">
        <x:v>2026-08-28</x:v>
      </x:c>
      <x:c r="Q109" s="4" t="str">
        <x:v>https://evcompare.org/2025/wagoneer-s/launch-edition-awd/</x:v>
      </x:c>
      <x:c r="R109" s="4" t="str">
        <x:v>https://www.jeep.com/wagoneer-s/specs.html</x:v>
      </x:c>
      <x:c r="S109" s="4" t="str">
        <x:v>https://www.fueleconomy.gov/feg/Find.do?action=sbs&amp;id=49093</x:v>
      </x:c>
      <x:c r="T109" s="4" t="str">
        <x:v>https://insideevs.com/reviews/779744/2025-jeep-wagoneer-s-review/</x:v>
      </x:c>
      <x:c r="U109" s="4" t="str">
        <x:v>jeep-wagoneer-s-2025-launch-edition-awd</x:v>
      </x:c>
    </x:row>
    <x:row r="110">
      <x:c r="A110" s="4" t="str">
        <x:v>Outside initial size screen</x:v>
      </x:c>
      <x:c r="B110" s="4" t="str">
        <x:v>Audi</x:v>
      </x:c>
      <x:c r="C110" s="4" t="str">
        <x:v>A6 e-tron</x:v>
      </x:c>
      <x:c r="D110" s="4" t="n">
        <x:v>2027</x:v>
      </x:c>
      <x:c r="E110" s="4" t="str">
        <x:v>Premium Plus quattro</x:v>
      </x:c>
      <x:c r="F110" s="17" t="n">
        <x:v>72000</x:v>
      </x:c>
      <x:c r="G110" s="4" t="n">
        <x:v>327</x:v>
      </x:c>
      <x:c r="H110" s="4" t="n">
        <x:v>94.4</x:v>
      </x:c>
      <x:c r="I110" s="20" t="n">
        <x:v>4.3</x:v>
      </x:c>
      <x:c r="J110" s="4" t="n">
        <x:v>270</x:v>
      </x:c>
      <x:c r="K110" s="4" t="str">
        <x:v>Sedan</x:v>
      </x:c>
      <x:c r="L110" s="4" t="str">
        <x:v>Large Car</x:v>
      </x:c>
      <x:c r="M110" s="4" t="n">
        <x:v>5</x:v>
      </x:c>
      <x:c r="N110" s="4"/>
      <x:c r="O110" s="4"/>
      <x:c r="P110" s="4" t="str">
        <x:v>2026-08-28</x:v>
      </x:c>
      <x:c r="Q110" s="4" t="str">
        <x:v>https://evcompare.org/2027/a6-e-tron/premium-plus-quattro/</x:v>
      </x:c>
      <x:c r="R110" s="4" t="str">
        <x:v>https://www.audiusa.com/en/models/a6-e-tron/a6-sportback-e-tron/2027/overview/</x:v>
      </x:c>
      <x:c r="S110" s="4" t="str">
        <x:v>https://www.fueleconomy.gov/feg/Find.do?action=sbs&amp;id=50367</x:v>
      </x:c>
      <x:c r="T110" s="4" t="str">
        <x:v>https://www.edmunds.com/audi/a6-sportback-e-tron/2027/features-specs/</x:v>
      </x:c>
      <x:c r="U110" s="4" t="str">
        <x:v>audi-a6-e-tron-2027-premium-plus-quattro</x:v>
      </x:c>
    </x:row>
    <x:row r="111">
      <x:c r="A111" s="4" t="str">
        <x:v>Older model year · check stock</x:v>
      </x:c>
      <x:c r="B111" s="4" t="str">
        <x:v>Audi</x:v>
      </x:c>
      <x:c r="C111" s="4" t="str">
        <x:v>SQ6 e-tron</x:v>
      </x:c>
      <x:c r="D111" s="4" t="n">
        <x:v>2025</x:v>
      </x:c>
      <x:c r="E111" s="4" t="str">
        <x:v>Premium quattro</x:v>
      </x:c>
      <x:c r="F111" s="17" t="n">
        <x:v>72900</x:v>
      </x:c>
      <x:c r="G111" s="4" t="n">
        <x:v>275</x:v>
      </x:c>
      <x:c r="H111" s="4" t="n">
        <x:v>100</x:v>
      </x:c>
      <x:c r="I111" s="20" t="n">
        <x:v>4.1</x:v>
      </x:c>
      <x:c r="J111" s="4" t="n">
        <x:v>270</x:v>
      </x:c>
      <x:c r="K111" s="4" t="str">
        <x:v>SUV</x:v>
      </x:c>
      <x:c r="L111" s="4" t="str">
        <x:v>Standard SUV</x:v>
      </x:c>
      <x:c r="M111" s="4" t="n">
        <x:v>5</x:v>
      </x:c>
      <x:c r="N111" s="4" t="n">
        <x:v>30.2</x:v>
      </x:c>
      <x:c r="O111" s="4"/>
      <x:c r="P111" s="4" t="str">
        <x:v>2026-08-28</x:v>
      </x:c>
      <x:c r="Q111" s="4" t="str">
        <x:v>https://evcompare.org/2025/sq6-e-tron/premium-quattro/</x:v>
      </x:c>
      <x:c r="R111" s="4" t="str">
        <x:v>https://media.audiusa.com/models/sq6-e-tron</x:v>
      </x:c>
      <x:c r="S111" s="4" t="str">
        <x:v>https://www.fueleconomy.gov/feg/Find.do?action=sbs&amp;id=48303</x:v>
      </x:c>
      <x:c r="T111" s="4" t="str">
        <x:v>https://www.cars.com/research/audi-sq6_e_tron-2025/</x:v>
      </x:c>
      <x:c r="U111" s="4" t="str">
        <x:v>audi-sq6-e-tron-2025-premium-quattro</x:v>
      </x:c>
    </x:row>
    <x:row r="112">
      <x:c r="A112" s="4" t="str">
        <x:v>Older model year · check stock</x:v>
      </x:c>
      <x:c r="B112" s="4" t="str">
        <x:v>Acura</x:v>
      </x:c>
      <x:c r="C112" s="4" t="str">
        <x:v>ZDX</x:v>
      </x:c>
      <x:c r="D112" s="4" t="n">
        <x:v>2024</x:v>
      </x:c>
      <x:c r="E112" s="4" t="str">
        <x:v>Type S AWD</x:v>
      </x:c>
      <x:c r="F112" s="17" t="n">
        <x:v>73500</x:v>
      </x:c>
      <x:c r="G112" s="4" t="n">
        <x:v>278</x:v>
      </x:c>
      <x:c r="H112" s="4" t="n">
        <x:v>102</x:v>
      </x:c>
      <x:c r="I112" s="20" t="n">
        <x:v>4.9</x:v>
      </x:c>
      <x:c r="J112" s="4" t="n">
        <x:v>190</x:v>
      </x:c>
      <x:c r="K112" s="4" t="str">
        <x:v>SUV</x:v>
      </x:c>
      <x:c r="L112" s="4" t="str">
        <x:v>Standard SUV</x:v>
      </x:c>
      <x:c r="M112" s="4" t="n">
        <x:v>5</x:v>
      </x:c>
      <x:c r="N112" s="4" t="n">
        <x:v>28.7</x:v>
      </x:c>
      <x:c r="O112" s="4"/>
      <x:c r="P112" s="4" t="str">
        <x:v>2026-08-28</x:v>
      </x:c>
      <x:c r="Q112" s="4" t="str">
        <x:v>https://evcompare.org/2024/zdx/type-s-awd/</x:v>
      </x:c>
      <x:c r="R112" s="4" t="str">
        <x:v>https://acuranews.com/en-US/releases/release-50763955e7ef98f595b7e8fb0e005c30-2024-acura-zdx-zdx-type-s-specifications-features</x:v>
      </x:c>
      <x:c r="S112" s="4" t="str">
        <x:v>https://www.fueleconomy.gov/feg/Find.do?action=sbs&amp;id=48781</x:v>
      </x:c>
      <x:c r="T112" s="4" t="str">
        <x:v>https://cars.usnews.com/cars-trucks/acura/zdx</x:v>
      </x:c>
      <x:c r="U112" s="4" t="str">
        <x:v>acura-zdx-2024-type-s-awd</x:v>
      </x:c>
    </x:row>
    <x:row r="113">
      <x:c r="A113" s="4" t="str">
        <x:v>Older model year · check stock</x:v>
      </x:c>
      <x:c r="B113" s="4" t="str">
        <x:v>Audi</x:v>
      </x:c>
      <x:c r="C113" s="4" t="str">
        <x:v>Q8 e-tron</x:v>
      </x:c>
      <x:c r="D113" s="4" t="n">
        <x:v>2025</x:v>
      </x:c>
      <x:c r="E113" s="4" t="str">
        <x:v>Premium quattro</x:v>
      </x:c>
      <x:c r="F113" s="17" t="n">
        <x:v>74800</x:v>
      </x:c>
      <x:c r="G113" s="4" t="n">
        <x:v>272</x:v>
      </x:c>
      <x:c r="H113" s="4" t="n">
        <x:v>114</x:v>
      </x:c>
      <x:c r="I113" s="20" t="n">
        <x:v>6.39</x:v>
      </x:c>
      <x:c r="J113" s="4"/>
      <x:c r="K113" s="4" t="str">
        <x:v>SUV</x:v>
      </x:c>
      <x:c r="L113" s="4" t="str">
        <x:v>Standard SUV</x:v>
      </x:c>
      <x:c r="M113" s="4" t="n">
        <x:v>5</x:v>
      </x:c>
      <x:c r="N113" s="4" t="n">
        <x:v>28.5</x:v>
      </x:c>
      <x:c r="O113" s="4"/>
      <x:c r="P113" s="4" t="str">
        <x:v>2026-08-28</x:v>
      </x:c>
      <x:c r="Q113" s="4" t="str">
        <x:v>https://evcompare.org/2025/q8-e-tron/premium-quattro/</x:v>
      </x:c>
      <x:c r="R113" s="4" t="str">
        <x:v>https://media.audiusa.com/models/q8-e-tron</x:v>
      </x:c>
      <x:c r="S113" s="4" t="str">
        <x:v>https://www.fueleconomy.gov/feg/Find.do?action=sbs&amp;id=48299</x:v>
      </x:c>
      <x:c r="T113" s="4" t="str">
        <x:v>https://www.cars.com/research/audi-q8_e_tron-2025/</x:v>
      </x:c>
      <x:c r="U113" s="4" t="str">
        <x:v>audi-q8-e-tron-2025-premium-quattro</x:v>
      </x:c>
    </x:row>
    <x:row r="114">
      <x:c r="A114" s="4" t="str">
        <x:v>Older model year · check stock</x:v>
      </x:c>
      <x:c r="B114" s="4" t="str">
        <x:v>Genesis</x:v>
      </x:c>
      <x:c r="C114" s="4" t="str">
        <x:v>Electrified G80</x:v>
      </x:c>
      <x:c r="D114" s="4" t="n">
        <x:v>2025</x:v>
      </x:c>
      <x:c r="E114" s="4" t="str">
        <x:v>Advanced AWD</x:v>
      </x:c>
      <x:c r="F114" s="17" t="n">
        <x:v>74875</x:v>
      </x:c>
      <x:c r="G114" s="4" t="n">
        <x:v>282</x:v>
      </x:c>
      <x:c r="H114" s="4" t="n">
        <x:v>94.5</x:v>
      </x:c>
      <x:c r="I114" s="20" t="n">
        <x:v>4.1</x:v>
      </x:c>
      <x:c r="J114" s="4" t="n">
        <x:v>350</x:v>
      </x:c>
      <x:c r="K114" s="4" t="str">
        <x:v>Sedan</x:v>
      </x:c>
      <x:c r="L114" s="4" t="str">
        <x:v>Midsize Car</x:v>
      </x:c>
      <x:c r="M114" s="4" t="n">
        <x:v>5</x:v>
      </x:c>
      <x:c r="N114" s="4" t="n">
        <x:v>11</x:v>
      </x:c>
      <x:c r="O114" s="4"/>
      <x:c r="P114" s="4" t="str">
        <x:v>2026-08-28</x:v>
      </x:c>
      <x:c r="Q114" s="4" t="str">
        <x:v>https://evcompare.org/2025/electrified-g80/advanced-awd/</x:v>
      </x:c>
      <x:c r="R114" s="4" t="str">
        <x:v>https://www.genesis.com/us/en/electrified-g80/</x:v>
      </x:c>
      <x:c r="S114" s="4" t="str">
        <x:v>https://www.fueleconomy.gov/feg/Find.do?action=sbs&amp;id=48351</x:v>
      </x:c>
      <x:c r="T114" s="4" t="str">
        <x:v>https://www.cars.com/research/genesis-electrified_g80-2025/specs/</x:v>
      </x:c>
      <x:c r="U114" s="4" t="str">
        <x:v>genesis-electrified-g80-2025-advanced-awd</x:v>
      </x:c>
    </x:row>
    <x:row r="115">
      <x:c r="A115" s="4" t="str">
        <x:v>Outside initial size screen</x:v>
      </x:c>
      <x:c r="B115" s="4" t="str">
        <x:v>Hyundai</x:v>
      </x:c>
      <x:c r="C115" s="4" t="str">
        <x:v>Ioniq 9</x:v>
      </x:c>
      <x:c r="D115" s="4" t="n">
        <x:v>2026</x:v>
      </x:c>
      <x:c r="E115" s="4" t="str">
        <x:v>Calligraphy AWD</x:v>
      </x:c>
      <x:c r="F115" s="17" t="n">
        <x:v>74990</x:v>
      </x:c>
      <x:c r="G115" s="4" t="n">
        <x:v>311</x:v>
      </x:c>
      <x:c r="H115" s="4" t="n">
        <x:v>110.3</x:v>
      </x:c>
      <x:c r="I115" s="20" t="n">
        <x:v>4.9</x:v>
      </x:c>
      <x:c r="J115" s="4" t="n">
        <x:v>350</x:v>
      </x:c>
      <x:c r="K115" s="4" t="str">
        <x:v>SUV</x:v>
      </x:c>
      <x:c r="L115" s="4" t="str">
        <x:v>Standard SUV</x:v>
      </x:c>
      <x:c r="M115" s="4" t="n">
        <x:v>6</x:v>
      </x:c>
      <x:c r="N115" s="4" t="n">
        <x:v>21.9</x:v>
      </x:c>
      <x:c r="O115" s="4"/>
      <x:c r="P115" s="4" t="str">
        <x:v>2026-08-28</x:v>
      </x:c>
      <x:c r="Q115" s="4" t="str">
        <x:v>https://evcompare.org/2026/ioniq-9/calligraphy-awd/</x:v>
      </x:c>
      <x:c r="R115" s="4" t="str">
        <x:v>https://www.hyundaiusa.com/us/en/vehicles/ioniq-9/calligraphy</x:v>
      </x:c>
      <x:c r="S115" s="4" t="str">
        <x:v>https://www.fueleconomy.gov/feg/Find.do?action=sbs&amp;id=49663</x:v>
      </x:c>
      <x:c r="T115" s="4" t="str">
        <x:v>https://www.edmunds.com/car-news/2026-hyundai-ioniq-9-calligraphy-tested.html</x:v>
      </x:c>
      <x:c r="U115" s="4" t="str">
        <x:v>hyundai-ioniq-9-2026-calligraphy-awd</x:v>
      </x:c>
    </x:row>
    <x:row r="116">
      <x:c r="A116" s="4" t="str">
        <x:v>Older model year · check stock</x:v>
      </x:c>
      <x:c r="B116" s="4" t="str">
        <x:v>VinFast</x:v>
      </x:c>
      <x:c r="C116" s="4" t="str">
        <x:v>VF9</x:v>
      </x:c>
      <x:c r="D116" s="4" t="n">
        <x:v>2025</x:v>
      </x:c>
      <x:c r="E116" s="4" t="str">
        <x:v>Plus AWD</x:v>
      </x:c>
      <x:c r="F116" s="17" t="n">
        <x:v>75000</x:v>
      </x:c>
      <x:c r="G116" s="4" t="n">
        <x:v>287</x:v>
      </x:c>
      <x:c r="H116" s="4" t="n">
        <x:v>123</x:v>
      </x:c>
      <x:c r="I116" s="20" t="n">
        <x:v>6.7</x:v>
      </x:c>
      <x:c r="J116" s="4" t="n">
        <x:v>150</x:v>
      </x:c>
      <x:c r="K116" s="4" t="str">
        <x:v>SUV</x:v>
      </x:c>
      <x:c r="L116" s="4" t="str">
        <x:v>Special Purpose</x:v>
      </x:c>
      <x:c r="M116" s="4" t="n">
        <x:v>7</x:v>
      </x:c>
      <x:c r="N116" s="4" t="n">
        <x:v>7.5</x:v>
      </x:c>
      <x:c r="O116" s="4"/>
      <x:c r="P116" s="4" t="str">
        <x:v>2026-08-28</x:v>
      </x:c>
      <x:c r="Q116" s="4" t="str">
        <x:v>https://evcompare.org/2025/vf9/plus-awd/</x:v>
      </x:c>
      <x:c r="R116" s="4" t="str">
        <x:v>https://vinfastauto.us/vehicles/vf-9</x:v>
      </x:c>
      <x:c r="S116" s="4" t="str">
        <x:v>https://www.fueleconomy.gov/feg/Find.do?action=sbs&amp;id=49088</x:v>
      </x:c>
      <x:c r="T116" s="4" t="str">
        <x:v>https://www.kbb.com/vinfast/vf-9/2025/</x:v>
      </x:c>
      <x:c r="U116" s="4" t="str">
        <x:v>vinfast-vf9-2025-plus-awd</x:v>
      </x:c>
    </x:row>
    <x:row r="117">
      <x:c r="A117" s="4" t="str">
        <x:v>Older model year · check stock</x:v>
      </x:c>
      <x:c r="B117" s="4" t="str">
        <x:v>Mercedes-Benz</x:v>
      </x:c>
      <x:c r="C117" s="4" t="str">
        <x:v>EQE Sedan</x:v>
      </x:c>
      <x:c r="D117" s="4" t="n">
        <x:v>2025</x:v>
      </x:c>
      <x:c r="E117" s="4" t="str">
        <x:v>350+</x:v>
      </x:c>
      <x:c r="F117" s="17" t="n">
        <x:v>76050</x:v>
      </x:c>
      <x:c r="G117" s="4" t="n">
        <x:v>308</x:v>
      </x:c>
      <x:c r="H117" s="4" t="n">
        <x:v>96</x:v>
      </x:c>
      <x:c r="I117" s="20" t="n">
        <x:v>5.8</x:v>
      </x:c>
      <x:c r="J117" s="4" t="n">
        <x:v>170</x:v>
      </x:c>
      <x:c r="K117" s="4" t="str">
        <x:v>Sedan</x:v>
      </x:c>
      <x:c r="L117" s="4" t="str">
        <x:v>Midsize Car</x:v>
      </x:c>
      <x:c r="M117" s="4" t="n">
        <x:v>5</x:v>
      </x:c>
      <x:c r="N117" s="4" t="n">
        <x:v>15</x:v>
      </x:c>
      <x:c r="O117" s="4"/>
      <x:c r="P117" s="4" t="str">
        <x:v>2026-08-28</x:v>
      </x:c>
      <x:c r="Q117" s="4" t="str">
        <x:v>https://evcompare.org/2025/eqe-sedan/350/</x:v>
      </x:c>
      <x:c r="R117" s="4" t="str">
        <x:v>https://www.mbusa.com/en/vehicles/model/eqe/sedan/eqe350v</x:v>
      </x:c>
      <x:c r="S117" s="4" t="str">
        <x:v>https://www.fueleconomy.gov/feg/Find.do?action=sbs&amp;id=48384</x:v>
      </x:c>
      <x:c r="T117" s="4" t="str">
        <x:v>https://www.cars.com/research/mercedes_benz-eqe_350-2025/</x:v>
      </x:c>
      <x:c r="U117" s="4" t="str">
        <x:v>mercedes-benz-eqe-sedan-2025-350-plus</x:v>
      </x:c>
    </x:row>
    <x:row r="118">
      <x:c r="A118" s="4" t="str">
        <x:v>Older model year · check stock</x:v>
      </x:c>
      <x:c r="B118" s="4" t="str">
        <x:v>Rivian</x:v>
      </x:c>
      <x:c r="C118" s="4" t="str">
        <x:v>R1T</x:v>
      </x:c>
      <x:c r="D118" s="4" t="n">
        <x:v>2025</x:v>
      </x:c>
      <x:c r="E118" s="4" t="str">
        <x:v>Adventure Dual-Motor AWD (Large Pack)</x:v>
      </x:c>
      <x:c r="F118" s="17" t="n">
        <x:v>76900</x:v>
      </x:c>
      <x:c r="G118" s="4" t="n">
        <x:v>329</x:v>
      </x:c>
      <x:c r="H118" s="4" t="n">
        <x:v>109.4</x:v>
      </x:c>
      <x:c r="I118" s="20" t="n">
        <x:v>4.5</x:v>
      </x:c>
      <x:c r="J118" s="4" t="n">
        <x:v>220</x:v>
      </x:c>
      <x:c r="K118" s="4" t="str">
        <x:v>Truck</x:v>
      </x:c>
      <x:c r="L118" s="4" t="str">
        <x:v>Standard Pickup</x:v>
      </x:c>
      <x:c r="M118" s="4" t="n">
        <x:v>5</x:v>
      </x:c>
      <x:c r="N118" s="4" t="str">
        <x:v>N/A</x:v>
      </x:c>
      <x:c r="O118" s="4"/>
      <x:c r="P118" s="4" t="str">
        <x:v>2026-09-01</x:v>
      </x:c>
      <x:c r="Q118" s="4" t="str">
        <x:v>https://evcompare.org/2025/r1t/adventure-dual-motor-awd-large-pack/</x:v>
      </x:c>
      <x:c r="R118" s="4" t="str">
        <x:v>https://rivian.com/r1t</x:v>
      </x:c>
      <x:c r="S118" s="4" t="str">
        <x:v>https://www.fueleconomy.gov/feg/Find.do?action=sbs&amp;id=48756</x:v>
      </x:c>
      <x:c r="T118" s="4" t="str">
        <x:v>https://www.caranddriver.com/rivian/r1t</x:v>
      </x:c>
      <x:c r="U118" s="4" t="str">
        <x:v>rivian-r1t-2025-adventure-dual-motor-awd-large-pack</x:v>
      </x:c>
    </x:row>
    <x:row r="119">
      <x:c r="A119" s="4" t="str">
        <x:v>Outside initial size screen</x:v>
      </x:c>
      <x:c r="B119" s="4" t="str">
        <x:v>Cadillac</x:v>
      </x:c>
      <x:c r="C119" s="4" t="str">
        <x:v>Vistiq</x:v>
      </x:c>
      <x:c r="D119" s="4" t="n">
        <x:v>2026</x:v>
      </x:c>
      <x:c r="E119" s="4" t="str">
        <x:v>Luxury AWD</x:v>
      </x:c>
      <x:c r="F119" s="17" t="n">
        <x:v>77395</x:v>
      </x:c>
      <x:c r="G119" s="4" t="n">
        <x:v>305</x:v>
      </x:c>
      <x:c r="H119" s="4" t="n">
        <x:v>102</x:v>
      </x:c>
      <x:c r="I119" s="20" t="n">
        <x:v>3.7</x:v>
      </x:c>
      <x:c r="J119" s="4" t="n">
        <x:v>190</x:v>
      </x:c>
      <x:c r="K119" s="4" t="str">
        <x:v>SUV</x:v>
      </x:c>
      <x:c r="L119" s="4" t="str">
        <x:v>Standard SUV</x:v>
      </x:c>
      <x:c r="M119" s="4" t="n">
        <x:v>6</x:v>
      </x:c>
      <x:c r="N119" s="4" t="n">
        <x:v>15.2</x:v>
      </x:c>
      <x:c r="O119" s="4"/>
      <x:c r="P119" s="4" t="str">
        <x:v>2026-08-21</x:v>
      </x:c>
      <x:c r="Q119" s="4" t="str">
        <x:v>https://evcompare.org/2026/vistiq/luxury-awd/</x:v>
      </x:c>
      <x:c r="R119" s="4" t="str">
        <x:v>https://www.cadillac.com/electric/preceding-year/vistiq</x:v>
      </x:c>
      <x:c r="S119" s="4" t="str">
        <x:v>https://www.fueleconomy.gov/feg/Find.do?action=sbs&amp;id=49636</x:v>
      </x:c>
      <x:c r="T119" s="4" t="str">
        <x:v>https://cars.usnews.com/cars-trucks/cadillac/vistiq</x:v>
      </x:c>
      <x:c r="U119" s="4" t="str">
        <x:v>cadillac-vistiq-2026-luxury-awd</x:v>
      </x:c>
    </x:row>
    <x:row r="120">
      <x:c r="A120" s="4" t="str">
        <x:v>Outside initial size screen</x:v>
      </x:c>
      <x:c r="B120" s="4" t="str">
        <x:v>GMC</x:v>
      </x:c>
      <x:c r="C120" s="4" t="str">
        <x:v>Sierra EV</x:v>
      </x:c>
      <x:c r="D120" s="4" t="n">
        <x:v>2026</x:v>
      </x:c>
      <x:c r="E120" s="4" t="str">
        <x:v>Denali (Extended Range)</x:v>
      </x:c>
      <x:c r="F120" s="17" t="n">
        <x:v>77900</x:v>
      </x:c>
      <x:c r="G120" s="4" t="n">
        <x:v>410</x:v>
      </x:c>
      <x:c r="H120" s="4" t="n">
        <x:v>170</x:v>
      </x:c>
      <x:c r="I120" s="20" t="n">
        <x:v>4.5</x:v>
      </x:c>
      <x:c r="J120" s="4" t="n">
        <x:v>350</x:v>
      </x:c>
      <x:c r="K120" s="4" t="str">
        <x:v>Truck</x:v>
      </x:c>
      <x:c r="L120" s="4" t="str">
        <x:v>Standard Pickup</x:v>
      </x:c>
      <x:c r="M120" s="4" t="n">
        <x:v>5</x:v>
      </x:c>
      <x:c r="N120" s="4" t="str">
        <x:v>N/A</x:v>
      </x:c>
      <x:c r="O120" s="4"/>
      <x:c r="P120" s="4" t="str">
        <x:v>2026-08-28</x:v>
      </x:c>
      <x:c r="Q120" s="4" t="str">
        <x:v>https://evcompare.org/2026/sierra-ev/denali-extended-range/</x:v>
      </x:c>
      <x:c r="R120" s="4" t="str">
        <x:v>https://www.gmc.com/electric/sierra-ev</x:v>
      </x:c>
      <x:c r="S120" s="4" t="str">
        <x:v>https://www.fueleconomy.gov/feg/Find.do?action=sbs&amp;id=49658</x:v>
      </x:c>
      <x:c r="T120" s="4" t="str">
        <x:v>https://www.cars.com/research/gmc-sierra_ev-2026/</x:v>
      </x:c>
      <x:c r="U120" s="4" t="str">
        <x:v>gmc-sierra-ev-2026-denali-extended-range</x:v>
      </x:c>
    </x:row>
    <x:row r="121">
      <x:c r="A121" s="4" t="str">
        <x:v>Older model year · check stock</x:v>
      </x:c>
      <x:c r="B121" s="4" t="str">
        <x:v>Mercedes-Benz</x:v>
      </x:c>
      <x:c r="C121" s="4" t="str">
        <x:v>EQE SUV</x:v>
      </x:c>
      <x:c r="D121" s="4" t="n">
        <x:v>2025</x:v>
      </x:c>
      <x:c r="E121" s="4" t="str">
        <x:v>350+</x:v>
      </x:c>
      <x:c r="F121" s="17" t="n">
        <x:v>79050</x:v>
      </x:c>
      <x:c r="G121" s="4" t="n">
        <x:v>302</x:v>
      </x:c>
      <x:c r="H121" s="4" t="n">
        <x:v>90.6</x:v>
      </x:c>
      <x:c r="I121" s="20" t="n">
        <x:v>6.4</x:v>
      </x:c>
      <x:c r="J121" s="4" t="n">
        <x:v>170</x:v>
      </x:c>
      <x:c r="K121" s="4" t="str">
        <x:v>SUV</x:v>
      </x:c>
      <x:c r="L121" s="4" t="str">
        <x:v>Midsize Wagon</x:v>
      </x:c>
      <x:c r="M121" s="4" t="n">
        <x:v>5</x:v>
      </x:c>
      <x:c r="N121" s="4" t="n">
        <x:v>14</x:v>
      </x:c>
      <x:c r="O121" s="4"/>
      <x:c r="P121" s="4" t="str">
        <x:v>2026-08-28</x:v>
      </x:c>
      <x:c r="Q121" s="4" t="str">
        <x:v>https://evcompare.org/2025/eqe-suv/350/</x:v>
      </x:c>
      <x:c r="R121" s="4" t="str">
        <x:v>https://www.mbusa.com/en/vehicles/class/eqe/suv</x:v>
      </x:c>
      <x:c r="S121" s="4" t="str">
        <x:v>https://www.fueleconomy.gov/feg/Find.do?action=sbs&amp;id=48390</x:v>
      </x:c>
      <x:c r="T121" s="4" t="str">
        <x:v>https://www.edmunds.com/mercedes-benz/eqe-suv/2025/features-specs/</x:v>
      </x:c>
      <x:c r="U121" s="4" t="str">
        <x:v>mercedes-benz-eqe-suv-2025-350-plus</x:v>
      </x:c>
    </x:row>
    <x:row r="122">
      <x:c r="A122" s="4" t="str">
        <x:v>Older model year · check stock</x:v>
      </x:c>
      <x:c r="B122" s="4" t="str">
        <x:v>Polestar</x:v>
      </x:c>
      <x:c r="C122" s="4" t="str">
        <x:v>3</x:v>
      </x:c>
      <x:c r="D122" s="4" t="n">
        <x:v>2025</x:v>
      </x:c>
      <x:c r="E122" s="4" t="str">
        <x:v>Long Range Dual Motor Performance Pack AWD</x:v>
      </x:c>
      <x:c r="F122" s="17" t="n">
        <x:v>79400</x:v>
      </x:c>
      <x:c r="G122" s="4" t="n">
        <x:v>279</x:v>
      </x:c>
      <x:c r="H122" s="4" t="n">
        <x:v>107</x:v>
      </x:c>
      <x:c r="I122" s="20" t="n">
        <x:v>4.5</x:v>
      </x:c>
      <x:c r="J122" s="4" t="n">
        <x:v>250</x:v>
      </x:c>
      <x:c r="K122" s="4" t="str">
        <x:v>SUV</x:v>
      </x:c>
      <x:c r="L122" s="4" t="str">
        <x:v>Standard SUV</x:v>
      </x:c>
      <x:c r="M122" s="4" t="n">
        <x:v>5</x:v>
      </x:c>
      <x:c r="N122" s="4" t="n">
        <x:v>21.1</x:v>
      </x:c>
      <x:c r="O122" s="4"/>
      <x:c r="P122" s="4" t="str">
        <x:v>2026-08-21</x:v>
      </x:c>
      <x:c r="Q122" s="4" t="str">
        <x:v>https://evcompare.org/2025/3/long-range-dual-motor-performance-pack-awd/</x:v>
      </x:c>
      <x:c r="R122" s="4" t="str">
        <x:v>https://www.polestar.com/us/polestar-3/performance/</x:v>
      </x:c>
      <x:c r="S122" s="4" t="str">
        <x:v>https://www.fueleconomy.gov/feg/Find.do?action=sbs&amp;id=48411</x:v>
      </x:c>
      <x:c r="T122" s="4" t="str">
        <x:v>https://www.cars.com/research/polestar-3-2025/</x:v>
      </x:c>
      <x:c r="U122" s="4" t="str">
        <x:v>polestar-3-2025-long-range-dual-motor-performance-pack-awd</x:v>
      </x:c>
    </x:row>
    <x:row r="123">
      <x:c r="A123" s="4" t="str">
        <x:v>Outside initial size screen</x:v>
      </x:c>
      <x:c r="B123" s="4" t="str">
        <x:v>Volvo</x:v>
      </x:c>
      <x:c r="C123" s="4" t="str">
        <x:v>EX90</x:v>
      </x:c>
      <x:c r="D123" s="4" t="n">
        <x:v>2026</x:v>
      </x:c>
      <x:c r="E123" s="4" t="str">
        <x:v>Twin Motor AWD</x:v>
      </x:c>
      <x:c r="F123" s="17" t="n">
        <x:v>79995</x:v>
      </x:c>
      <x:c r="G123" s="4" t="n">
        <x:v>305</x:v>
      </x:c>
      <x:c r="H123" s="4" t="n">
        <x:v>102</x:v>
      </x:c>
      <x:c r="I123" s="20" t="n">
        <x:v>5.3</x:v>
      </x:c>
      <x:c r="J123" s="4" t="n">
        <x:v>350</x:v>
      </x:c>
      <x:c r="K123" s="4" t="str">
        <x:v>SUV</x:v>
      </x:c>
      <x:c r="L123" s="4" t="str">
        <x:v>Standard SUV</x:v>
      </x:c>
      <x:c r="M123" s="4" t="n">
        <x:v>7</x:v>
      </x:c>
      <x:c r="N123" s="4" t="n">
        <x:v>13.6</x:v>
      </x:c>
      <x:c r="O123" s="4"/>
      <x:c r="P123" s="4" t="str">
        <x:v>2026-08-21</x:v>
      </x:c>
      <x:c r="Q123" s="4" t="str">
        <x:v>https://evcompare.org/2026/ex90/twin-motor-awd/</x:v>
      </x:c>
      <x:c r="R123" s="4" t="str">
        <x:v>https://www.volvocars.com/us/cars/ex90-electric/specifications/</x:v>
      </x:c>
      <x:c r="S123" s="4" t="str">
        <x:v>https://www.fueleconomy.gov/feg/Find.do?action=sbs&amp;id=50257</x:v>
      </x:c>
      <x:c r="T123" s="4" t="str">
        <x:v>https://www.edmunds.com/volvo/ex90/2026/features-specs/</x:v>
      </x:c>
      <x:c r="U123" s="4" t="str">
        <x:v>volvo-ex90-2026-twin-motor-awd</x:v>
      </x:c>
    </x:row>
    <x:row r="124">
      <x:c r="A124" s="4" t="str">
        <x:v>Outside initial size screen</x:v>
      </x:c>
      <x:c r="B124" s="4" t="str">
        <x:v>Lucid</x:v>
      </x:c>
      <x:c r="C124" s="4" t="str">
        <x:v>Gravity</x:v>
      </x:c>
      <x:c r="D124" s="4" t="n">
        <x:v>2026</x:v>
      </x:c>
      <x:c r="E124" s="4" t="str">
        <x:v>Touring AWD</x:v>
      </x:c>
      <x:c r="F124" s="17" t="n">
        <x:v>81525</x:v>
      </x:c>
      <x:c r="G124" s="4" t="n">
        <x:v>337</x:v>
      </x:c>
      <x:c r="H124" s="4" t="n">
        <x:v>89</x:v>
      </x:c>
      <x:c r="I124" s="20" t="n">
        <x:v>4</x:v>
      </x:c>
      <x:c r="J124" s="4" t="n">
        <x:v>300</x:v>
      </x:c>
      <x:c r="K124" s="4" t="str">
        <x:v>SUV</x:v>
      </x:c>
      <x:c r="L124" s="4" t="str">
        <x:v>Standard SUV</x:v>
      </x:c>
      <x:c r="M124" s="4" t="n">
        <x:v>5</x:v>
      </x:c>
      <x:c r="N124" s="4"/>
      <x:c r="O124" s="4"/>
      <x:c r="P124" s="4" t="str">
        <x:v>2026-08-28</x:v>
      </x:c>
      <x:c r="Q124" s="4" t="str">
        <x:v>https://evcompare.org/2026/gravity/touring-awd/</x:v>
      </x:c>
      <x:c r="R124" s="4" t="str">
        <x:v>https://www.lucidmotors.com/gravity</x:v>
      </x:c>
      <x:c r="S124" s="4" t="str">
        <x:v>https://www.fueleconomy.gov/feg/Find.do?action=sbs&amp;id=50221</x:v>
      </x:c>
      <x:c r="T124" s="4" t="str">
        <x:v>https://www.edmunds.com/car-news/2026-lucid-gravity-touring-debut-first-look.html</x:v>
      </x:c>
      <x:c r="U124" s="4" t="str">
        <x:v>lucid-gravity-2026-touring-awd</x:v>
      </x:c>
    </x:row>
    <x:row r="125">
      <x:c r="A125" s="4" t="str">
        <x:v>Older model year · check stock</x:v>
      </x:c>
      <x:c r="B125" s="4" t="str">
        <x:v>Rivian</x:v>
      </x:c>
      <x:c r="C125" s="4" t="str">
        <x:v>R1S</x:v>
      </x:c>
      <x:c r="D125" s="4" t="n">
        <x:v>2025</x:v>
      </x:c>
      <x:c r="E125" s="4" t="str">
        <x:v>Dual-Motor AWD (Large Pack)</x:v>
      </x:c>
      <x:c r="F125" s="17" t="n">
        <x:v>82900</x:v>
      </x:c>
      <x:c r="G125" s="4" t="n">
        <x:v>329</x:v>
      </x:c>
      <x:c r="H125" s="4" t="n">
        <x:v>109.4</x:v>
      </x:c>
      <x:c r="I125" s="20" t="n">
        <x:v>4.5</x:v>
      </x:c>
      <x:c r="J125" s="4" t="n">
        <x:v>220</x:v>
      </x:c>
      <x:c r="K125" s="4" t="str">
        <x:v>SUV</x:v>
      </x:c>
      <x:c r="L125" s="4" t="str">
        <x:v>Standard SUV</x:v>
      </x:c>
      <x:c r="M125" s="4" t="n">
        <x:v>7</x:v>
      </x:c>
      <x:c r="N125" s="4" t="n">
        <x:v>17.6</x:v>
      </x:c>
      <x:c r="O125" s="4"/>
      <x:c r="P125" s="4" t="str">
        <x:v>2026-09-01</x:v>
      </x:c>
      <x:c r="Q125" s="4" t="str">
        <x:v>https://evcompare.org/2025/r1s/dual-motor-awd-large-pack/</x:v>
      </x:c>
      <x:c r="R125" s="4" t="str">
        <x:v>https://rivian.com/r1s</x:v>
      </x:c>
      <x:c r="S125" s="4" t="str">
        <x:v>https://www.fueleconomy.gov/feg/Find.do?action=sbs&amp;id=48746</x:v>
      </x:c>
      <x:c r="T125" s="4" t="str">
        <x:v>https://www.caranddriver.com/rivian/r1s</x:v>
      </x:c>
      <x:c r="U125" s="4" t="str">
        <x:v>rivian-r1s-2025-dual-motor-awd-large-pack</x:v>
      </x:c>
    </x:row>
    <x:row r="126">
      <x:c r="A126" s="4" t="str">
        <x:v>Older model year · check stock</x:v>
      </x:c>
      <x:c r="B126" s="4" t="str">
        <x:v>Porsche</x:v>
      </x:c>
      <x:c r="C126" s="4" t="str">
        <x:v>Macan Electric</x:v>
      </x:c>
      <x:c r="D126" s="4" t="n">
        <x:v>2025</x:v>
      </x:c>
      <x:c r="E126" s="4" t="str">
        <x:v>4</x:v>
      </x:c>
      <x:c r="F126" s="17" t="n">
        <x:v>84000</x:v>
      </x:c>
      <x:c r="G126" s="4" t="n">
        <x:v>308</x:v>
      </x:c>
      <x:c r="H126" s="4" t="n">
        <x:v>95</x:v>
      </x:c>
      <x:c r="I126" s="20" t="n">
        <x:v>4.9</x:v>
      </x:c>
      <x:c r="J126" s="4" t="n">
        <x:v>270</x:v>
      </x:c>
      <x:c r="K126" s="4" t="str">
        <x:v>SUV</x:v>
      </x:c>
      <x:c r="L126" s="4" t="str">
        <x:v>Small SUV</x:v>
      </x:c>
      <x:c r="M126" s="4" t="n">
        <x:v>5</x:v>
      </x:c>
      <x:c r="N126" s="4" t="n">
        <x:v>19.1</x:v>
      </x:c>
      <x:c r="O126" s="4"/>
      <x:c r="P126" s="4" t="str">
        <x:v>2026-08-21</x:v>
      </x:c>
      <x:c r="Q126" s="4" t="str">
        <x:v>https://evcompare.org/2025/macan-electric/4/</x:v>
      </x:c>
      <x:c r="R126" s="4" t="str">
        <x:v>https://www.porsche.com/usa/models/macan/macan-electric-models/macan-4-electric/</x:v>
      </x:c>
      <x:c r="S126" s="4" t="str">
        <x:v>https://www.fueleconomy.gov/feg/Find.do?action=sbs&amp;id=48727</x:v>
      </x:c>
      <x:c r="T126" s="4" t="str">
        <x:v>https://www.edmunds.com/porsche/macan/2025/electric/</x:v>
      </x:c>
      <x:c r="U126" s="4" t="str">
        <x:v>porsche-macan-electric-2025-4-awd</x:v>
      </x:c>
    </x:row>
    <x:row r="127">
      <x:c r="A127" s="4" t="str">
        <x:v>Alternate configuration</x:v>
      </x:c>
      <x:c r="B127" s="4" t="str">
        <x:v>BMW</x:v>
      </x:c>
      <x:c r="C127" s="4" t="str">
        <x:v>i5</x:v>
      </x:c>
      <x:c r="D127" s="4" t="n">
        <x:v>2026</x:v>
      </x:c>
      <x:c r="E127" s="4" t="str">
        <x:v>M60 xDrive</x:v>
      </x:c>
      <x:c r="F127" s="17" t="n">
        <x:v>84100</x:v>
      </x:c>
      <x:c r="G127" s="4" t="n">
        <x:v>277</x:v>
      </x:c>
      <x:c r="H127" s="4" t="n">
        <x:v>80.7</x:v>
      </x:c>
      <x:c r="I127" s="20" t="n">
        <x:v>3.6</x:v>
      </x:c>
      <x:c r="J127" s="4" t="n">
        <x:v>205</x:v>
      </x:c>
      <x:c r="K127" s="4" t="str">
        <x:v>Sedan</x:v>
      </x:c>
      <x:c r="L127" s="4" t="str">
        <x:v>Compact Car</x:v>
      </x:c>
      <x:c r="M127" s="4" t="n">
        <x:v>5</x:v>
      </x:c>
      <x:c r="N127" s="4" t="n">
        <x:v>17.3</x:v>
      </x:c>
      <x:c r="O127" s="4"/>
      <x:c r="P127" s="4" t="str">
        <x:v>2026-08-28</x:v>
      </x:c>
      <x:c r="Q127" s="4" t="str">
        <x:v>https://evcompare.org/2026/i5/m60-xdrive/</x:v>
      </x:c>
      <x:c r="R127" s="4" t="str">
        <x:v>https://www.bmwusa.com/vehicles/m-series/bmw-i5-m60/bmw-i5-m60xdrive-overview.html</x:v>
      </x:c>
      <x:c r="S127" s="4" t="str">
        <x:v>https://www.fueleconomy.gov/feg/Find.do?action=sbs&amp;id=50194</x:v>
      </x:c>
      <x:c r="T127" s="4" t="str">
        <x:v>https://www.edmunds.com/bmw/i5/2026/m60/</x:v>
      </x:c>
      <x:c r="U127" s="4" t="str">
        <x:v>bmw-i5-2026-m60-xdrive</x:v>
      </x:c>
    </x:row>
    <x:row r="128">
      <x:c r="A128" s="4" t="str">
        <x:v>Older model year · check stock</x:v>
      </x:c>
      <x:c r="B128" s="4" t="str">
        <x:v>Ford</x:v>
      </x:c>
      <x:c r="C128" s="4" t="str">
        <x:v>F-150 Lightning</x:v>
      </x:c>
      <x:c r="D128" s="4" t="n">
        <x:v>2025</x:v>
      </x:c>
      <x:c r="E128" s="4" t="str">
        <x:v>Platinum</x:v>
      </x:c>
      <x:c r="F128" s="17" t="n">
        <x:v>84995</x:v>
      </x:c>
      <x:c r="G128" s="4" t="n">
        <x:v>300</x:v>
      </x:c>
      <x:c r="H128" s="4" t="n">
        <x:v>131</x:v>
      </x:c>
      <x:c r="I128" s="20" t="n">
        <x:v>3.8</x:v>
      </x:c>
      <x:c r="J128" s="4" t="n">
        <x:v>150</x:v>
      </x:c>
      <x:c r="K128" s="4" t="str">
        <x:v>Truck</x:v>
      </x:c>
      <x:c r="L128" s="4" t="str">
        <x:v>Standard Pickup</x:v>
      </x:c>
      <x:c r="M128" s="4" t="n">
        <x:v>5</x:v>
      </x:c>
      <x:c r="N128" s="4" t="str">
        <x:v>N/A</x:v>
      </x:c>
      <x:c r="O128" s="4"/>
      <x:c r="P128" s="4" t="str">
        <x:v>2026-08-28</x:v>
      </x:c>
      <x:c r="Q128" s="4" t="str">
        <x:v>https://evcompare.org/2025/f-150-lightning/platinum/</x:v>
      </x:c>
      <x:c r="R128" s="4" t="str">
        <x:v>https://www.ford.com/trucks/f150/f150-lightning/2026/models/</x:v>
      </x:c>
      <x:c r="S128" s="4" t="str">
        <x:v>https://www.fueleconomy.gov/feg/Find.do?action=sbs&amp;id=48708</x:v>
      </x:c>
      <x:c r="T128" s="4" t="str">
        <x:v>https://www.caranddriver.com/ford/f-150-lightning</x:v>
      </x:c>
      <x:c r="U128" s="4" t="str">
        <x:v>ford-f-150-lightning-2025-platinum</x:v>
      </x:c>
    </x:row>
    <x:row r="129">
      <x:c r="A129" s="4" t="str">
        <x:v>Outside initial size screen</x:v>
      </x:c>
      <x:c r="B129" s="4" t="str">
        <x:v>Tesla</x:v>
      </x:c>
      <x:c r="C129" s="4" t="str">
        <x:v>Model S</x:v>
      </x:c>
      <x:c r="D129" s="4" t="n">
        <x:v>2026</x:v>
      </x:c>
      <x:c r="E129" s="4" t="str">
        <x:v>AWD</x:v>
      </x:c>
      <x:c r="F129" s="17" t="n">
        <x:v>86630</x:v>
      </x:c>
      <x:c r="G129" s="4" t="n">
        <x:v>410</x:v>
      </x:c>
      <x:c r="H129" s="4" t="n">
        <x:v>100</x:v>
      </x:c>
      <x:c r="I129" s="20" t="n">
        <x:v>3.1</x:v>
      </x:c>
      <x:c r="J129" s="4" t="n">
        <x:v>250</x:v>
      </x:c>
      <x:c r="K129" s="4" t="str">
        <x:v>Sedan</x:v>
      </x:c>
      <x:c r="L129" s="4" t="str">
        <x:v>Large Car</x:v>
      </x:c>
      <x:c r="M129" s="4" t="n">
        <x:v>5</x:v>
      </x:c>
      <x:c r="N129" s="4"/>
      <x:c r="O129" s="4"/>
      <x:c r="P129" s="4" t="str">
        <x:v>2026-08-28</x:v>
      </x:c>
      <x:c r="Q129" s="4" t="str">
        <x:v>https://evcompare.org/2026/model-s/awd/</x:v>
      </x:c>
      <x:c r="R129" s="4" t="str">
        <x:v>https://www.tesla.com/models</x:v>
      </x:c>
      <x:c r="S129" s="4" t="str">
        <x:v>https://www.fueleconomy.gov/feg/Find.do?action=sbs&amp;id=49741</x:v>
      </x:c>
      <x:c r="T129" s="4" t="str">
        <x:v>https://www.edmunds.com/tesla/model-s/</x:v>
      </x:c>
      <x:c r="U129" s="4" t="str">
        <x:v>tesla-model-s-2026-awd</x:v>
      </x:c>
    </x:row>
    <x:row r="130">
      <x:c r="A130" s="4" t="str">
        <x:v>Older model year · check stock</x:v>
      </x:c>
      <x:c r="B130" s="4" t="str">
        <x:v>Mercedes-Benz</x:v>
      </x:c>
      <x:c r="C130" s="4" t="str">
        <x:v>EQE Sedan</x:v>
      </x:c>
      <x:c r="D130" s="4" t="n">
        <x:v>2025</x:v>
      </x:c>
      <x:c r="E130" s="4" t="str">
        <x:v>500 4MATIC</x:v>
      </x:c>
      <x:c r="F130" s="17" t="n">
        <x:v>87050</x:v>
      </x:c>
      <x:c r="G130" s="4" t="n">
        <x:v>266</x:v>
      </x:c>
      <x:c r="H130" s="4" t="n">
        <x:v>96</x:v>
      </x:c>
      <x:c r="I130" s="20" t="n">
        <x:v>4.5</x:v>
      </x:c>
      <x:c r="J130" s="4" t="n">
        <x:v>170</x:v>
      </x:c>
      <x:c r="K130" s="4" t="str">
        <x:v>Sedan</x:v>
      </x:c>
      <x:c r="L130" s="4" t="str">
        <x:v>Midsize Car</x:v>
      </x:c>
      <x:c r="M130" s="4" t="n">
        <x:v>5</x:v>
      </x:c>
      <x:c r="N130" s="4" t="n">
        <x:v>15</x:v>
      </x:c>
      <x:c r="O130" s="4"/>
      <x:c r="P130" s="4" t="str">
        <x:v>2026-08-28</x:v>
      </x:c>
      <x:c r="Q130" s="4" t="str">
        <x:v>https://evcompare.org/2025/eqe-sedan/500-4matic/</x:v>
      </x:c>
      <x:c r="R130" s="4" t="str">
        <x:v>https://www.mbusa.com/en/vehicles/model/eqe/sedan/eqe500v4</x:v>
      </x:c>
      <x:c r="S130" s="4" t="str">
        <x:v>https://www.fueleconomy.gov/feg/Find.do?action=sbs&amp;id=48385</x:v>
      </x:c>
      <x:c r="T130" s="4" t="str">
        <x:v>https://www.cars.com/research/mercedes_benz-eqe_350-2025/</x:v>
      </x:c>
      <x:c r="U130" s="4" t="str">
        <x:v>mercedes-benz-eqe-sedan-2025-500-4matic</x:v>
      </x:c>
    </x:row>
    <x:row r="131">
      <x:c r="A131" s="4" t="str">
        <x:v>Outside initial size screen</x:v>
      </x:c>
      <x:c r="B131" s="4" t="str">
        <x:v>BMW</x:v>
      </x:c>
      <x:c r="C131" s="4" t="str">
        <x:v>iX</x:v>
      </x:c>
      <x:c r="D131" s="4" t="n">
        <x:v>2026</x:v>
      </x:c>
      <x:c r="E131" s="4" t="str">
        <x:v>xDrive60</x:v>
      </x:c>
      <x:c r="F131" s="17" t="n">
        <x:v>88500</x:v>
      </x:c>
      <x:c r="G131" s="4" t="n">
        <x:v>364</x:v>
      </x:c>
      <x:c r="H131" s="4" t="n">
        <x:v>109.1</x:v>
      </x:c>
      <x:c r="I131" s="20" t="n">
        <x:v>4.4</x:v>
      </x:c>
      <x:c r="J131" s="4" t="n">
        <x:v>195</x:v>
      </x:c>
      <x:c r="K131" s="4" t="str">
        <x:v>SUV</x:v>
      </x:c>
      <x:c r="L131" s="4" t="str">
        <x:v>Standard SUV</x:v>
      </x:c>
      <x:c r="M131" s="4" t="n">
        <x:v>5</x:v>
      </x:c>
      <x:c r="N131" s="4" t="n">
        <x:v>35.5</x:v>
      </x:c>
      <x:c r="O131" s="4"/>
      <x:c r="P131" s="4" t="str">
        <x:v>2026-08-28</x:v>
      </x:c>
      <x:c r="Q131" s="4" t="str">
        <x:v>https://evcompare.org/2026/ix/xdrive60/</x:v>
      </x:c>
      <x:c r="R131" s="4" t="str">
        <x:v>https://www.bmwusa.com/vehicles/bmw-i-series/ix/bmw-ix.html</x:v>
      </x:c>
      <x:c r="S131" s="4" t="str">
        <x:v>https://www.fueleconomy.gov/feg/Find.do?action=sbs&amp;id=49623</x:v>
      </x:c>
      <x:c r="T131" s="4" t="str">
        <x:v>https://www.edmunds.com/bmw/ix/2026/</x:v>
      </x:c>
      <x:c r="U131" s="4" t="str">
        <x:v>bmw-ix-2026-xdrive60</x:v>
      </x:c>
    </x:row>
    <x:row r="132">
      <x:c r="A132" s="4" t="str">
        <x:v>Outside initial size screen</x:v>
      </x:c>
      <x:c r="B132" s="4" t="str">
        <x:v>Volvo</x:v>
      </x:c>
      <x:c r="C132" s="4" t="str">
        <x:v>EX90</x:v>
      </x:c>
      <x:c r="D132" s="4" t="n">
        <x:v>2026</x:v>
      </x:c>
      <x:c r="E132" s="4" t="str">
        <x:v>Twin Motor Performance AWD (Ultra)</x:v>
      </x:c>
      <x:c r="F132" s="17" t="n">
        <x:v>89345</x:v>
      </x:c>
      <x:c r="G132" s="4" t="n">
        <x:v>298</x:v>
      </x:c>
      <x:c r="H132" s="4" t="n">
        <x:v>102</x:v>
      </x:c>
      <x:c r="I132" s="20" t="n">
        <x:v>4</x:v>
      </x:c>
      <x:c r="J132" s="4" t="n">
        <x:v>350</x:v>
      </x:c>
      <x:c r="K132" s="4" t="str">
        <x:v>SUV</x:v>
      </x:c>
      <x:c r="L132" s="4" t="str">
        <x:v>Standard SUV</x:v>
      </x:c>
      <x:c r="M132" s="4" t="n">
        <x:v>7</x:v>
      </x:c>
      <x:c r="N132" s="4" t="n">
        <x:v>13.6</x:v>
      </x:c>
      <x:c r="O132" s="4"/>
      <x:c r="P132" s="4" t="str">
        <x:v>2026-08-21</x:v>
      </x:c>
      <x:c r="Q132" s="4" t="str">
        <x:v>https://evcompare.org/2026/ex90/twin-motor-performance-awd-ultra/</x:v>
      </x:c>
      <x:c r="R132" s="4" t="str">
        <x:v>https://www.volvocars.com/us/cars/ex90-electric/specifications/</x:v>
      </x:c>
      <x:c r="S132" s="4" t="str">
        <x:v>https://www.fueleconomy.gov/feg/Find.do?action=sbs&amp;id=50258</x:v>
      </x:c>
      <x:c r="T132" s="4" t="str">
        <x:v>https://www.edmunds.com/volvo/ex90/2026/st-402101250/features-specs/</x:v>
      </x:c>
      <x:c r="U132" s="4" t="str">
        <x:v>volvo-ex90-2026-twin-motor-performance-awd</x:v>
      </x:c>
    </x:row>
    <x:row r="133">
      <x:c r="A133" s="4" t="str">
        <x:v>Older model year · check stock</x:v>
      </x:c>
      <x:c r="B133" s="4" t="str">
        <x:v>Mercedes-Benz</x:v>
      </x:c>
      <x:c r="C133" s="4" t="str">
        <x:v>EQE SUV</x:v>
      </x:c>
      <x:c r="D133" s="4" t="n">
        <x:v>2025</x:v>
      </x:c>
      <x:c r="E133" s="4" t="str">
        <x:v>500 4MATIC</x:v>
      </x:c>
      <x:c r="F133" s="17" t="n">
        <x:v>89500</x:v>
      </x:c>
      <x:c r="G133" s="4" t="n">
        <x:v>264</x:v>
      </x:c>
      <x:c r="H133" s="4" t="n">
        <x:v>90.6</x:v>
      </x:c>
      <x:c r="I133" s="20" t="n">
        <x:v>4.7</x:v>
      </x:c>
      <x:c r="J133" s="4" t="n">
        <x:v>170</x:v>
      </x:c>
      <x:c r="K133" s="4" t="str">
        <x:v>SUV</x:v>
      </x:c>
      <x:c r="L133" s="4" t="str">
        <x:v>Midsize Wagon</x:v>
      </x:c>
      <x:c r="M133" s="4" t="n">
        <x:v>5</x:v>
      </x:c>
      <x:c r="N133" s="4" t="n">
        <x:v>14</x:v>
      </x:c>
      <x:c r="O133" s="4"/>
      <x:c r="P133" s="4" t="str">
        <x:v>2026-08-21</x:v>
      </x:c>
      <x:c r="Q133" s="4" t="str">
        <x:v>https://evcompare.org/2025/eqe-suv/500-4matic/</x:v>
      </x:c>
      <x:c r="R133" s="4" t="str">
        <x:v>https://www.mbusa.com/en/vehicles/class/eqe/suv</x:v>
      </x:c>
      <x:c r="S133" s="4" t="str">
        <x:v>https://www.fueleconomy.gov/feg/Find.do?action=sbs&amp;id=48391</x:v>
      </x:c>
      <x:c r="T133" s="4" t="str">
        <x:v>https://cleanfleetreport.com/road-test-2025-mercedes-benz-eqe-suv-500-4matic/</x:v>
      </x:c>
      <x:c r="U133" s="4" t="str">
        <x:v>mercedes-benz-eqe-suv-2025-500-4matic</x:v>
      </x:c>
    </x:row>
    <x:row r="134">
      <x:c r="A134" s="4" t="str">
        <x:v>Outside initial size screen</x:v>
      </x:c>
      <x:c r="B134" s="4" t="str">
        <x:v>Cadillac</x:v>
      </x:c>
      <x:c r="C134" s="4" t="str">
        <x:v>Vistiq</x:v>
      </x:c>
      <x:c r="D134" s="4" t="n">
        <x:v>2026</x:v>
      </x:c>
      <x:c r="E134" s="4" t="str">
        <x:v>Platinum AWD</x:v>
      </x:c>
      <x:c r="F134" s="17" t="n">
        <x:v>96495</x:v>
      </x:c>
      <x:c r="G134" s="4" t="n">
        <x:v>300</x:v>
      </x:c>
      <x:c r="H134" s="4" t="n">
        <x:v>102</x:v>
      </x:c>
      <x:c r="I134" s="20" t="n">
        <x:v>3.7</x:v>
      </x:c>
      <x:c r="J134" s="4" t="n">
        <x:v>190</x:v>
      </x:c>
      <x:c r="K134" s="4" t="str">
        <x:v>SUV</x:v>
      </x:c>
      <x:c r="L134" s="4" t="str">
        <x:v>Standard SUV</x:v>
      </x:c>
      <x:c r="M134" s="4" t="n">
        <x:v>6</x:v>
      </x:c>
      <x:c r="N134" s="4" t="n">
        <x:v>15.2</x:v>
      </x:c>
      <x:c r="O134" s="4"/>
      <x:c r="P134" s="4" t="str">
        <x:v>2026-08-21</x:v>
      </x:c>
      <x:c r="Q134" s="4" t="str">
        <x:v>https://evcompare.org/2026/vistiq/platinum-awd/</x:v>
      </x:c>
      <x:c r="R134" s="4" t="str">
        <x:v>https://www.cadillac.com/electric/preceding-year/vistiq</x:v>
      </x:c>
      <x:c r="S134" s="4" t="str">
        <x:v>https://www.fueleconomy.gov/feg/Find.do?action=sbs&amp;id=49637</x:v>
      </x:c>
      <x:c r="T134" s="4" t="str">
        <x:v>https://cars.usnews.com/cars-trucks/cadillac/vistiq</x:v>
      </x:c>
      <x:c r="U134" s="4" t="str">
        <x:v>cadillac-vistiq-2026-platinum-awd</x:v>
      </x:c>
    </x:row>
    <x:row r="135">
      <x:c r="A135" s="4" t="str">
        <x:v>Outside initial size screen</x:v>
      </x:c>
      <x:c r="B135" s="4" t="str">
        <x:v>Chevrolet</x:v>
      </x:c>
      <x:c r="C135" s="4" t="str">
        <x:v>Silverado EV</x:v>
      </x:c>
      <x:c r="D135" s="4" t="n">
        <x:v>2026</x:v>
      </x:c>
      <x:c r="E135" s="4" t="str">
        <x:v>RST (Max Range)</x:v>
      </x:c>
      <x:c r="F135" s="17" t="n">
        <x:v>98695</x:v>
      </x:c>
      <x:c r="G135" s="4" t="n">
        <x:v>460</x:v>
      </x:c>
      <x:c r="H135" s="4" t="n">
        <x:v>205</x:v>
      </x:c>
      <x:c r="I135" s="20" t="n">
        <x:v>4.5</x:v>
      </x:c>
      <x:c r="J135" s="4" t="n">
        <x:v>350</x:v>
      </x:c>
      <x:c r="K135" s="4" t="str">
        <x:v>Truck</x:v>
      </x:c>
      <x:c r="L135" s="4" t="str">
        <x:v>Standard Pickup</x:v>
      </x:c>
      <x:c r="M135" s="4" t="n">
        <x:v>5</x:v>
      </x:c>
      <x:c r="N135" s="4" t="str">
        <x:v>N/A</x:v>
      </x:c>
      <x:c r="O135" s="4"/>
      <x:c r="P135" s="4" t="str">
        <x:v>2026-09-01</x:v>
      </x:c>
      <x:c r="Q135" s="4" t="str">
        <x:v>https://evcompare.org/2026/silverado-ev/rst-max-range/</x:v>
      </x:c>
      <x:c r="R135" s="4" t="str">
        <x:v>https://www.chevrolet.com/electric/silverado-ev</x:v>
      </x:c>
      <x:c r="S135" s="4" t="str">
        <x:v>https://www.fueleconomy.gov/feg/PowerSearch.do?action=noform&amp;path=1&amp;year1=2026&amp;year2=2026&amp;make=Chevrolet&amp;baseModel=Silverado&amp;srchtyp=ymm&amp;pageno=1&amp;rowLimit=50</x:v>
      </x:c>
      <x:c r="T135" s="4" t="str">
        <x:v>https://www.caranddriver.com/chevrolet/silverado-ev</x:v>
      </x:c>
      <x:c r="U135" s="4" t="str">
        <x:v>chevrolet-silverado-ev-2026-rst-max-range</x:v>
      </x:c>
    </x:row>
    <x:row r="136">
      <x:c r="A136" s="4" t="str">
        <x:v>Outside initial size screen</x:v>
      </x:c>
      <x:c r="B136" s="4" t="str">
        <x:v>Lucid</x:v>
      </x:c>
      <x:c r="C136" s="4" t="str">
        <x:v>Gravity</x:v>
      </x:c>
      <x:c r="D136" s="4" t="n">
        <x:v>2026</x:v>
      </x:c>
      <x:c r="E136" s="4" t="str">
        <x:v>Grand Touring AWD</x:v>
      </x:c>
      <x:c r="F136" s="17" t="n">
        <x:v>98900</x:v>
      </x:c>
      <x:c r="G136" s="4" t="n">
        <x:v>437</x:v>
      </x:c>
      <x:c r="H136" s="4" t="n">
        <x:v>123</x:v>
      </x:c>
      <x:c r="I136" s="20" t="n">
        <x:v>3.4</x:v>
      </x:c>
      <x:c r="J136" s="4" t="n">
        <x:v>400</x:v>
      </x:c>
      <x:c r="K136" s="4" t="str">
        <x:v>SUV</x:v>
      </x:c>
      <x:c r="L136" s="4" t="str">
        <x:v>Standard SUV</x:v>
      </x:c>
      <x:c r="M136" s="4" t="n">
        <x:v>7</x:v>
      </x:c>
      <x:c r="N136" s="4" t="n">
        <x:v>42</x:v>
      </x:c>
      <x:c r="O136" s="4"/>
      <x:c r="P136" s="4" t="str">
        <x:v>2026-08-21</x:v>
      </x:c>
      <x:c r="Q136" s="4" t="str">
        <x:v>https://evcompare.org/2026/gravity/grand-touring-awd/</x:v>
      </x:c>
      <x:c r="R136" s="4" t="str">
        <x:v>https://www.lucidmotors.com/gravity</x:v>
      </x:c>
      <x:c r="S136" s="4" t="str">
        <x:v>https://www.fueleconomy.gov/feg/Find.do?action=sbs&amp;id=50029</x:v>
      </x:c>
      <x:c r="T136" s="4" t="str">
        <x:v>https://www.edmunds.com/car-news/2026-lucid-gravity-grand-touring-tested-review.html</x:v>
      </x:c>
      <x:c r="U136" s="4" t="str">
        <x:v>lucid-gravity-2026-grand-touring-awd</x:v>
      </x:c>
    </x:row>
    <x:row r="137">
      <x:c r="A137" s="4" t="str">
        <x:v>Outside initial size screen</x:v>
      </x:c>
      <x:c r="B137" s="4" t="str">
        <x:v>Tesla</x:v>
      </x:c>
      <x:c r="C137" s="4" t="str">
        <x:v>Model X</x:v>
      </x:c>
      <x:c r="D137" s="4" t="n">
        <x:v>2026</x:v>
      </x:c>
      <x:c r="E137" s="4" t="str">
        <x:v>AWD</x:v>
      </x:c>
      <x:c r="F137" s="17" t="n">
        <x:v>99900</x:v>
      </x:c>
      <x:c r="G137" s="4" t="n">
        <x:v>352</x:v>
      </x:c>
      <x:c r="H137" s="4" t="n">
        <x:v>100</x:v>
      </x:c>
      <x:c r="I137" s="20" t="n">
        <x:v>3.8</x:v>
      </x:c>
      <x:c r="J137" s="4" t="n">
        <x:v>250</x:v>
      </x:c>
      <x:c r="K137" s="4" t="str">
        <x:v>SUV</x:v>
      </x:c>
      <x:c r="L137" s="4" t="str">
        <x:v>Standard SUV</x:v>
      </x:c>
      <x:c r="M137" s="4" t="n">
        <x:v>6</x:v>
      </x:c>
      <x:c r="N137" s="4" t="n">
        <x:v>20</x:v>
      </x:c>
      <x:c r="O137" s="4"/>
      <x:c r="P137" s="4" t="str">
        <x:v>2026-08-21</x:v>
      </x:c>
      <x:c r="Q137" s="4" t="str">
        <x:v>https://evcompare.org/2026/model-x/awd/</x:v>
      </x:c>
      <x:c r="R137" s="4" t="str">
        <x:v>https://www.tesla.com/modelx/design</x:v>
      </x:c>
      <x:c r="S137" s="4" t="str">
        <x:v>https://www.fueleconomy.gov/feg/Find.do?action=sbs&amp;id=49745</x:v>
      </x:c>
      <x:c r="T137" s="4" t="str">
        <x:v>https://www.edmunds.com/tesla/model-x/2026/st-402085867/features-specs/</x:v>
      </x:c>
      <x:c r="U137" s="4" t="str">
        <x:v>tesla-model-x-2026-awd</x:v>
      </x:c>
    </x:row>
    <x:row r="138">
      <x:c r="A138" s="4" t="str">
        <x:v>Outside initial size screen</x:v>
      </x:c>
      <x:c r="B138" s="4" t="str">
        <x:v>Tesla</x:v>
      </x:c>
      <x:c r="C138" s="4" t="str">
        <x:v>Cybertruck</x:v>
      </x:c>
      <x:c r="D138" s="4" t="n">
        <x:v>2026</x:v>
      </x:c>
      <x:c r="E138" s="4" t="str">
        <x:v>Cyberbeast</x:v>
      </x:c>
      <x:c r="F138" s="17" t="n">
        <x:v>99990</x:v>
      </x:c>
      <x:c r="G138" s="4" t="n">
        <x:v>320</x:v>
      </x:c>
      <x:c r="H138" s="4" t="n">
        <x:v>123</x:v>
      </x:c>
      <x:c r="I138" s="20" t="n">
        <x:v>2.6</x:v>
      </x:c>
      <x:c r="J138" s="4" t="n">
        <x:v>350</x:v>
      </x:c>
      <x:c r="K138" s="4" t="str">
        <x:v>Truck</x:v>
      </x:c>
      <x:c r="L138" s="4" t="str">
        <x:v>Standard Pickup</x:v>
      </x:c>
      <x:c r="M138" s="4" t="n">
        <x:v>5</x:v>
      </x:c>
      <x:c r="N138" s="4" t="str">
        <x:v>N/A</x:v>
      </x:c>
      <x:c r="O138" s="4"/>
      <x:c r="P138" s="4" t="str">
        <x:v>2026-09-01</x:v>
      </x:c>
      <x:c r="Q138" s="4" t="str">
        <x:v>https://evcompare.org/2026/cybertruck/cyberbeast/</x:v>
      </x:c>
      <x:c r="R138" s="4" t="str">
        <x:v>https://www.tesla.com/cybertruck</x:v>
      </x:c>
      <x:c r="S138" s="4" t="str">
        <x:v>https://www.fueleconomy.gov/feg/PowerSearch.do?action=noform&amp;path=1&amp;year1=2022&amp;year2=2026&amp;make=Tesla&amp;baseModel=Cybertruck&amp;srchtyp=ymm&amp;pageno=1&amp;rowLimit=100</x:v>
      </x:c>
      <x:c r="T138" s="4" t="str">
        <x:v>https://www.caranddriver.com/tesla/cybertruck</x:v>
      </x:c>
      <x:c r="U138" s="4" t="str">
        <x:v>tesla-cybertruck-2026-cyberbeast</x:v>
      </x:c>
    </x:row>
    <x:row r="139">
      <x:c r="A139" s="4" t="str">
        <x:v>Older model year · check stock</x:v>
      </x:c>
      <x:c r="B139" s="4" t="str">
        <x:v>Porsche</x:v>
      </x:c>
      <x:c r="C139" s="4" t="str">
        <x:v>Taycan</x:v>
      </x:c>
      <x:c r="D139" s="4" t="n">
        <x:v>2025</x:v>
      </x:c>
      <x:c r="E139" s="4" t="str">
        <x:v>Taycan (Performance Battery, RWD)</x:v>
      </x:c>
      <x:c r="F139" s="17" t="n">
        <x:v>101395</x:v>
      </x:c>
      <x:c r="G139" s="4" t="n">
        <x:v>274</x:v>
      </x:c>
      <x:c r="H139" s="4" t="n">
        <x:v>82</x:v>
      </x:c>
      <x:c r="I139" s="20" t="n">
        <x:v>4.5</x:v>
      </x:c>
      <x:c r="J139" s="4" t="n">
        <x:v>320</x:v>
      </x:c>
      <x:c r="K139" s="4" t="str">
        <x:v>Sedan</x:v>
      </x:c>
      <x:c r="L139" s="4" t="str">
        <x:v>Compact Car</x:v>
      </x:c>
      <x:c r="M139" s="4" t="n">
        <x:v>4</x:v>
      </x:c>
      <x:c r="N139" s="4" t="n">
        <x:v>14.3</x:v>
      </x:c>
      <x:c r="O139" s="4"/>
      <x:c r="P139" s="4" t="str">
        <x:v>2026-08-21</x:v>
      </x:c>
      <x:c r="Q139" s="4" t="str">
        <x:v>https://evcompare.org/2025/taycan/taycan-performance-battery-rwd/</x:v>
      </x:c>
      <x:c r="R139" s="4" t="str">
        <x:v>https://www.porsche.com/usa/models/taycan/taycan-range/</x:v>
      </x:c>
      <x:c r="S139" s="4" t="str">
        <x:v>https://www.fueleconomy.gov/feg/Find.do?action=sbs&amp;id=48415</x:v>
      </x:c>
      <x:c r="T139" s="4" t="str">
        <x:v>https://cars.usnews.com/cars-trucks/porsche/taycan/interior</x:v>
      </x:c>
      <x:c r="U139" s="4" t="str">
        <x:v>porsche-taycan-2025-base-rwd</x:v>
      </x:c>
    </x:row>
    <x:row r="140">
      <x:c r="A140" s="4" t="str">
        <x:v>Outside initial size screen</x:v>
      </x:c>
      <x:c r="B140" s="4" t="str">
        <x:v>Tesla</x:v>
      </x:c>
      <x:c r="C140" s="4" t="str">
        <x:v>Model S</x:v>
      </x:c>
      <x:c r="D140" s="4" t="n">
        <x:v>2026</x:v>
      </x:c>
      <x:c r="E140" s="4" t="str">
        <x:v>Plaid AWD</x:v>
      </x:c>
      <x:c r="F140" s="17" t="n">
        <x:v>101630</x:v>
      </x:c>
      <x:c r="G140" s="4" t="n">
        <x:v>368</x:v>
      </x:c>
      <x:c r="H140" s="4" t="n">
        <x:v>100</x:v>
      </x:c>
      <x:c r="I140" s="20" t="n">
        <x:v>2</x:v>
      </x:c>
      <x:c r="J140" s="4" t="n">
        <x:v>250</x:v>
      </x:c>
      <x:c r="K140" s="4" t="str">
        <x:v>Sedan</x:v>
      </x:c>
      <x:c r="L140" s="4" t="str">
        <x:v>Large Car</x:v>
      </x:c>
      <x:c r="M140" s="4" t="n">
        <x:v>5</x:v>
      </x:c>
      <x:c r="N140" s="4"/>
      <x:c r="O140" s="4"/>
      <x:c r="P140" s="4" t="str">
        <x:v>2026-08-28</x:v>
      </x:c>
      <x:c r="Q140" s="4" t="str">
        <x:v>https://evcompare.org/2026/model-s/plaid-awd/</x:v>
      </x:c>
      <x:c r="R140" s="4" t="str">
        <x:v>https://www.tesla.com/models</x:v>
      </x:c>
      <x:c r="S140" s="4" t="str">
        <x:v>https://www.fueleconomy.gov/feg/Find.do?action=sbs&amp;id=49742</x:v>
      </x:c>
      <x:c r="T140" s="4" t="str">
        <x:v>https://www.edmunds.com/tesla/model-s/</x:v>
      </x:c>
      <x:c r="U140" s="4" t="str">
        <x:v>tesla-model-s-2026-plaid-awd</x:v>
      </x:c>
    </x:row>
    <x:row r="141">
      <x:c r="A141" s="4" t="str">
        <x:v>Older model year · check stock</x:v>
      </x:c>
      <x:c r="B141" s="4" t="str">
        <x:v>Mercedes-Benz</x:v>
      </x:c>
      <x:c r="C141" s="4" t="str">
        <x:v>EQS Sedan</x:v>
      </x:c>
      <x:c r="D141" s="4" t="n">
        <x:v>2025</x:v>
      </x:c>
      <x:c r="E141" s="4" t="str">
        <x:v>450+</x:v>
      </x:c>
      <x:c r="F141" s="17" t="n">
        <x:v>104400</x:v>
      </x:c>
      <x:c r="G141" s="4" t="n">
        <x:v>390</x:v>
      </x:c>
      <x:c r="H141" s="4" t="n">
        <x:v>118</x:v>
      </x:c>
      <x:c r="I141" s="20" t="n">
        <x:v>6.5</x:v>
      </x:c>
      <x:c r="J141" s="4" t="n">
        <x:v>200</x:v>
      </x:c>
      <x:c r="K141" s="4" t="str">
        <x:v>Sedan</x:v>
      </x:c>
      <x:c r="L141" s="4" t="str">
        <x:v>Large Car</x:v>
      </x:c>
      <x:c r="M141" s="4" t="n">
        <x:v>5</x:v>
      </x:c>
      <x:c r="N141" s="4" t="n">
        <x:v>22</x:v>
      </x:c>
      <x:c r="O141" s="4"/>
      <x:c r="P141" s="4" t="str">
        <x:v>2026-08-28</x:v>
      </x:c>
      <x:c r="Q141" s="4" t="str">
        <x:v>https://evcompare.org/2025/eqs-sedan/450/</x:v>
      </x:c>
      <x:c r="R141" s="4" t="str">
        <x:v>https://www.mbusa.com/en/vehicles/class/eqs/sedan</x:v>
      </x:c>
      <x:c r="S141" s="4" t="str">
        <x:v>https://www.fueleconomy.gov/feg/Find.do?action=sbs&amp;id=48388</x:v>
      </x:c>
      <x:c r="T141" s="4" t="str">
        <x:v>https://www.cars.com/research/mercedes_benz-eqs_450-2025/</x:v>
      </x:c>
      <x:c r="U141" s="4" t="str">
        <x:v>mercedes-benz-eqs-sedan-2025-450-plus</x:v>
      </x:c>
    </x:row>
    <x:row r="142">
      <x:c r="A142" s="4" t="str">
        <x:v>Older model year · check stock</x:v>
      </x:c>
      <x:c r="B142" s="4" t="str">
        <x:v>GMC</x:v>
      </x:c>
      <x:c r="C142" s="4" t="str">
        <x:v>Hummer EV Pickup</x:v>
      </x:c>
      <x:c r="D142" s="4" t="n">
        <x:v>2025</x:v>
      </x:c>
      <x:c r="E142" s="4" t="str">
        <x:v>3X</x:v>
      </x:c>
      <x:c r="F142" s="17" t="n">
        <x:v>104700</x:v>
      </x:c>
      <x:c r="G142" s="4" t="n">
        <x:v>312</x:v>
      </x:c>
      <x:c r="H142" s="4" t="n">
        <x:v>205</x:v>
      </x:c>
      <x:c r="I142" s="20"/>
      <x:c r="J142" s="4" t="n">
        <x:v>350</x:v>
      </x:c>
      <x:c r="K142" s="4" t="str">
        <x:v>Truck</x:v>
      </x:c>
      <x:c r="L142" s="4" t="str">
        <x:v>Standard Pickup</x:v>
      </x:c>
      <x:c r="M142" s="4" t="n">
        <x:v>5</x:v>
      </x:c>
      <x:c r="N142" s="4" t="str">
        <x:v>N/A</x:v>
      </x:c>
      <x:c r="O142" s="4"/>
      <x:c r="P142" s="4" t="str">
        <x:v>2026-08-28</x:v>
      </x:c>
      <x:c r="Q142" s="4" t="str">
        <x:v>https://evcompare.org/2025/hummer-ev-pickup/3x/</x:v>
      </x:c>
      <x:c r="R142" s="4" t="str">
        <x:v>https://www.gmc.com/electric/hummer-ev/pickup-truck</x:v>
      </x:c>
      <x:c r="S142" s="4" t="str">
        <x:v>https://www.fueleconomy.gov/feg/Find.do?action=sbs&amp;id=48344</x:v>
      </x:c>
      <x:c r="T142" s="4" t="str">
        <x:v>https://www.edmunds.com/gmc/hummer-ev/</x:v>
      </x:c>
      <x:c r="U142" s="4" t="str">
        <x:v>gmc-hummer-ev-2025-pickup-3x</x:v>
      </x:c>
    </x:row>
    <x:row r="143">
      <x:c r="A143" s="4" t="str">
        <x:v>Older model year · check stock</x:v>
      </x:c>
      <x:c r="B143" s="4" t="str">
        <x:v>GMC</x:v>
      </x:c>
      <x:c r="C143" s="4" t="str">
        <x:v>Hummer EV SUV</x:v>
      </x:c>
      <x:c r="D143" s="4" t="n">
        <x:v>2025</x:v>
      </x:c>
      <x:c r="E143" s="4" t="str">
        <x:v>3X</x:v>
      </x:c>
      <x:c r="F143" s="17" t="n">
        <x:v>105300</x:v>
      </x:c>
      <x:c r="G143" s="4" t="n">
        <x:v>312</x:v>
      </x:c>
      <x:c r="H143" s="4" t="n">
        <x:v>205</x:v>
      </x:c>
      <x:c r="I143" s="20" t="n">
        <x:v>3.5</x:v>
      </x:c>
      <x:c r="J143" s="4" t="n">
        <x:v>300</x:v>
      </x:c>
      <x:c r="K143" s="4" t="str">
        <x:v>SUV</x:v>
      </x:c>
      <x:c r="L143" s="4" t="str">
        <x:v>Standard SUV</x:v>
      </x:c>
      <x:c r="M143" s="4" t="n">
        <x:v>5</x:v>
      </x:c>
      <x:c r="N143" s="4" t="n">
        <x:v>35.9</x:v>
      </x:c>
      <x:c r="O143" s="4"/>
      <x:c r="P143" s="4" t="str">
        <x:v>2026-08-28</x:v>
      </x:c>
      <x:c r="Q143" s="4" t="str">
        <x:v>https://evcompare.org/2025/hummer-ev-suv/3x/</x:v>
      </x:c>
      <x:c r="R143" s="4" t="str">
        <x:v>https://www.gmc.com/electric/hummer-ev/suv</x:v>
      </x:c>
      <x:c r="S143" s="4" t="str">
        <x:v>https://www.fueleconomy.gov/feg/Find.do?action=sbs&amp;id=48348</x:v>
      </x:c>
      <x:c r="T143" s="4" t="str">
        <x:v>https://carbuzz.com/cars/gmc/hummer-ev-suv/2025/</x:v>
      </x:c>
      <x:c r="U143" s="4" t="str">
        <x:v>gmc-hummer-ev-suv-2025-3x</x:v>
      </x:c>
    </x:row>
    <x:row r="144">
      <x:c r="A144" s="4" t="str">
        <x:v>Older model year · check stock</x:v>
      </x:c>
      <x:c r="B144" s="4" t="str">
        <x:v>Mercedes-Benz</x:v>
      </x:c>
      <x:c r="C144" s="4" t="str">
        <x:v>EQS SUV</x:v>
      </x:c>
      <x:c r="D144" s="4" t="n">
        <x:v>2025</x:v>
      </x:c>
      <x:c r="E144" s="4" t="str">
        <x:v>450+</x:v>
      </x:c>
      <x:c r="F144" s="17" t="n">
        <x:v>106400</x:v>
      </x:c>
      <x:c r="G144" s="4" t="n">
        <x:v>323</x:v>
      </x:c>
      <x:c r="H144" s="4" t="n">
        <x:v>118</x:v>
      </x:c>
      <x:c r="I144" s="20" t="n">
        <x:v>6.5</x:v>
      </x:c>
      <x:c r="J144" s="4" t="n">
        <x:v>200</x:v>
      </x:c>
      <x:c r="K144" s="4" t="str">
        <x:v>SUV</x:v>
      </x:c>
      <x:c r="L144" s="4" t="str">
        <x:v>Standard SUV</x:v>
      </x:c>
      <x:c r="M144" s="4" t="n">
        <x:v>7</x:v>
      </x:c>
      <x:c r="N144" s="4" t="n">
        <x:v>31</x:v>
      </x:c>
      <x:c r="O144" s="4"/>
      <x:c r="P144" s="4" t="str">
        <x:v>2026-08-28</x:v>
      </x:c>
      <x:c r="Q144" s="4" t="str">
        <x:v>https://evcompare.org/2025/eqs-suv/450/</x:v>
      </x:c>
      <x:c r="R144" s="4" t="str">
        <x:v>https://www.mbusa.com/en/vehicles/class/eqs/suv</x:v>
      </x:c>
      <x:c r="S144" s="4" t="str">
        <x:v>https://www.fueleconomy.gov/feg/Find.do?action=sbs&amp;id=48392</x:v>
      </x:c>
      <x:c r="T144" s="4" t="str">
        <x:v>https://www.edmunds.com/mercedes-benz/eqs-suv/2025/eqs-450plus/</x:v>
      </x:c>
      <x:c r="U144" s="4" t="str">
        <x:v>mercedes-benz-eqs-suv-2025-450-plus</x:v>
      </x:c>
    </x:row>
    <x:row r="145">
      <x:c r="A145" s="4" t="str">
        <x:v>Older model year · check stock</x:v>
      </x:c>
      <x:c r="B145" s="4" t="str">
        <x:v>Porsche</x:v>
      </x:c>
      <x:c r="C145" s="4" t="str">
        <x:v>Macan Electric</x:v>
      </x:c>
      <x:c r="D145" s="4" t="n">
        <x:v>2025</x:v>
      </x:c>
      <x:c r="E145" s="4" t="str">
        <x:v>Turbo</x:v>
      </x:c>
      <x:c r="F145" s="17" t="n">
        <x:v>107295</x:v>
      </x:c>
      <x:c r="G145" s="4" t="n">
        <x:v>288</x:v>
      </x:c>
      <x:c r="H145" s="4" t="n">
        <x:v>95</x:v>
      </x:c>
      <x:c r="I145" s="20" t="n">
        <x:v>3.1</x:v>
      </x:c>
      <x:c r="J145" s="4" t="n">
        <x:v>270</x:v>
      </x:c>
      <x:c r="K145" s="4" t="str">
        <x:v>SUV</x:v>
      </x:c>
      <x:c r="L145" s="4" t="str">
        <x:v>Small SUV</x:v>
      </x:c>
      <x:c r="M145" s="4" t="n">
        <x:v>5</x:v>
      </x:c>
      <x:c r="N145" s="4" t="n">
        <x:v>19.1</x:v>
      </x:c>
      <x:c r="O145" s="4"/>
      <x:c r="P145" s="4" t="str">
        <x:v>2026-08-21</x:v>
      </x:c>
      <x:c r="Q145" s="4" t="str">
        <x:v>https://evcompare.org/2025/macan-electric/turbo/</x:v>
      </x:c>
      <x:c r="R145" s="4" t="str">
        <x:v>https://www.porsche.com/usa/models/macan/macan-electric-models/macan-electric/</x:v>
      </x:c>
      <x:c r="S145" s="4" t="str">
        <x:v>https://www.fueleconomy.gov/feg/Find.do?action=sbs&amp;id=48729</x:v>
      </x:c>
      <x:c r="T145" s="4" t="str">
        <x:v>https://www.edmunds.com/car-news/2025-porsche-macan-turbo-electric-tested-feature.html</x:v>
      </x:c>
      <x:c r="U145" s="4" t="str">
        <x:v>porsche-macan-electric-2025-turbo-awd</x:v>
      </x:c>
    </x:row>
    <x:row r="146">
      <x:c r="A146" s="4" t="str">
        <x:v>Outside initial size screen</x:v>
      </x:c>
      <x:c r="B146" s="4" t="str">
        <x:v>Porsche</x:v>
      </x:c>
      <x:c r="C146" s="4" t="str">
        <x:v>Cayenne Electric</x:v>
      </x:c>
      <x:c r="D146" s="4" t="n">
        <x:v>2026</x:v>
      </x:c>
      <x:c r="E146" s="4" t="str">
        <x:v>Base</x:v>
      </x:c>
      <x:c r="F146" s="17" t="n">
        <x:v>109000</x:v>
      </x:c>
      <x:c r="G146" s="4" t="str">
        <x:v>Pending</x:v>
      </x:c>
      <x:c r="H146" s="4" t="n">
        <x:v>113</x:v>
      </x:c>
      <x:c r="I146" s="20" t="n">
        <x:v>4.5</x:v>
      </x:c>
      <x:c r="J146" s="4" t="n">
        <x:v>400</x:v>
      </x:c>
      <x:c r="K146" s="4" t="str">
        <x:v>SUV</x:v>
      </x:c>
      <x:c r="L146" s="4"/>
      <x:c r="M146" s="4" t="n">
        <x:v>5</x:v>
      </x:c>
      <x:c r="N146" s="4" t="n">
        <x:v>27.6</x:v>
      </x:c>
      <x:c r="O146" s="4"/>
      <x:c r="P146" s="4" t="str">
        <x:v>2026-08-28</x:v>
      </x:c>
      <x:c r="Q146" s="4" t="str">
        <x:v>https://evcompare.org/2026/cayenne-electric/base/</x:v>
      </x:c>
      <x:c r="R146" s="4" t="str">
        <x:v>https://www.porsche.com/usa/models/cayenne/cayenne-electric-models/cayenne-electric/</x:v>
      </x:c>
      <x:c r="S146" s="4" t="str">
        <x:v>https://www.edmunds.com/porsche/cayenne/2026/mpg/</x:v>
      </x:c>
      <x:c r="T146" s="4" t="str">
        <x:v>https://www.edmunds.com/porsche/cayenne/2026/electric/</x:v>
      </x:c>
      <x:c r="U146" s="4" t="str">
        <x:v>porsche-cayenne-electric-2026-base</x:v>
      </x:c>
    </x:row>
    <x:row r="147">
      <x:c r="A147" s="4" t="str">
        <x:v>Outside initial size screen</x:v>
      </x:c>
      <x:c r="B147" s="4" t="str">
        <x:v>BMW</x:v>
      </x:c>
      <x:c r="C147" s="4" t="str">
        <x:v>iX</x:v>
      </x:c>
      <x:c r="D147" s="4" t="n">
        <x:v>2026</x:v>
      </x:c>
      <x:c r="E147" s="4" t="str">
        <x:v>M70 xDrive</x:v>
      </x:c>
      <x:c r="F147" s="17" t="n">
        <x:v>111500</x:v>
      </x:c>
      <x:c r="G147" s="4" t="n">
        <x:v>303</x:v>
      </x:c>
      <x:c r="H147" s="4" t="n">
        <x:v>108.9</x:v>
      </x:c>
      <x:c r="I147" s="20" t="n">
        <x:v>3.6</x:v>
      </x:c>
      <x:c r="J147" s="4" t="n">
        <x:v>195</x:v>
      </x:c>
      <x:c r="K147" s="4" t="str">
        <x:v>SUV</x:v>
      </x:c>
      <x:c r="L147" s="4" t="str">
        <x:v>Standard SUV</x:v>
      </x:c>
      <x:c r="M147" s="4" t="n">
        <x:v>5</x:v>
      </x:c>
      <x:c r="N147" s="4" t="n">
        <x:v>35.5</x:v>
      </x:c>
      <x:c r="O147" s="4"/>
      <x:c r="P147" s="4" t="str">
        <x:v>2026-08-28</x:v>
      </x:c>
      <x:c r="Q147" s="4" t="str">
        <x:v>https://evcompare.org/2026/ix/m70-xdrive/</x:v>
      </x:c>
      <x:c r="R147" s="4" t="str">
        <x:v>https://www.bmwusa.com/vehicles/m-series/ix-m70/bmw-ix-m70.html</x:v>
      </x:c>
      <x:c r="S147" s="4" t="str">
        <x:v>https://www.fueleconomy.gov/feg/Find.do?action=sbs&amp;id=49627</x:v>
      </x:c>
      <x:c r="T147" s="4" t="str">
        <x:v>https://www.edmunds.com/bmw/ix/2026/m70/</x:v>
      </x:c>
      <x:c r="U147" s="4" t="str">
        <x:v>bmw-ix-2026-m70-xdrive</x:v>
      </x:c>
    </x:row>
    <x:row r="148">
      <x:c r="A148" s="4" t="str">
        <x:v>Older model year · check stock</x:v>
      </x:c>
      <x:c r="B148" s="4" t="str">
        <x:v>Lucid</x:v>
      </x:c>
      <x:c r="C148" s="4" t="str">
        <x:v>Air</x:v>
      </x:c>
      <x:c r="D148" s="4" t="n">
        <x:v>2025</x:v>
      </x:c>
      <x:c r="E148" s="4" t="str">
        <x:v>Grand Touring AWD</x:v>
      </x:c>
      <x:c r="F148" s="17" t="n">
        <x:v>112400</x:v>
      </x:c>
      <x:c r="G148" s="4" t="n">
        <x:v>512</x:v>
      </x:c>
      <x:c r="H148" s="4" t="n">
        <x:v>117</x:v>
      </x:c>
      <x:c r="I148" s="20" t="n">
        <x:v>3</x:v>
      </x:c>
      <x:c r="J148" s="4" t="n">
        <x:v>300</x:v>
      </x:c>
      <x:c r="K148" s="4" t="str">
        <x:v>Sedan</x:v>
      </x:c>
      <x:c r="L148" s="4" t="str">
        <x:v>Large Car</x:v>
      </x:c>
      <x:c r="M148" s="4" t="n">
        <x:v>5</x:v>
      </x:c>
      <x:c r="N148" s="4" t="n">
        <x:v>22.1</x:v>
      </x:c>
      <x:c r="O148" s="4"/>
      <x:c r="P148" s="4" t="str">
        <x:v>2026-08-21</x:v>
      </x:c>
      <x:c r="Q148" s="4" t="str">
        <x:v>https://evcompare.org/2025/air/grand-touring-awd/</x:v>
      </x:c>
      <x:c r="R148" s="4" t="str">
        <x:v>https://lucidmotors.com/air-grand-touring</x:v>
      </x:c>
      <x:c r="S148" s="4" t="str">
        <x:v>https://www.fueleconomy.gov/feg/Find.do?action=sbs&amp;id=48371</x:v>
      </x:c>
      <x:c r="T148" s="4" t="str">
        <x:v>https://www.cars.com/research/lucid-air-2025/</x:v>
      </x:c>
      <x:c r="U148" s="4" t="str">
        <x:v>lucid-air-2025-grand-touring-awd</x:v>
      </x:c>
    </x:row>
    <x:row r="149">
      <x:c r="A149" s="4" t="str">
        <x:v>Outside initial size screen</x:v>
      </x:c>
      <x:c r="B149" s="4" t="str">
        <x:v>Tesla</x:v>
      </x:c>
      <x:c r="C149" s="4" t="str">
        <x:v>Model X</x:v>
      </x:c>
      <x:c r="D149" s="4" t="n">
        <x:v>2026</x:v>
      </x:c>
      <x:c r="E149" s="4" t="str">
        <x:v>Plaid AWD</x:v>
      </x:c>
      <x:c r="F149" s="17" t="n">
        <x:v>114990</x:v>
      </x:c>
      <x:c r="G149" s="4" t="n">
        <x:v>335</x:v>
      </x:c>
      <x:c r="H149" s="4" t="n">
        <x:v>100</x:v>
      </x:c>
      <x:c r="I149" s="20" t="n">
        <x:v>2.5</x:v>
      </x:c>
      <x:c r="J149" s="4" t="n">
        <x:v>250</x:v>
      </x:c>
      <x:c r="K149" s="4" t="str">
        <x:v>SUV</x:v>
      </x:c>
      <x:c r="L149" s="4" t="str">
        <x:v>Standard SUV</x:v>
      </x:c>
      <x:c r="M149" s="4" t="n">
        <x:v>6</x:v>
      </x:c>
      <x:c r="N149" s="4" t="n">
        <x:v>20</x:v>
      </x:c>
      <x:c r="O149" s="4"/>
      <x:c r="P149" s="4" t="str">
        <x:v>2026-08-21</x:v>
      </x:c>
      <x:c r="Q149" s="4" t="str">
        <x:v>https://evcompare.org/2026/model-x/plaid-awd/</x:v>
      </x:c>
      <x:c r="R149" s="4" t="str">
        <x:v>https://www.tesla.com/modelx/design</x:v>
      </x:c>
      <x:c r="S149" s="4" t="str">
        <x:v>https://www.fueleconomy.gov/feg/Find.do?action=sbs&amp;id=49746</x:v>
      </x:c>
      <x:c r="T149" s="4" t="str">
        <x:v>https://www.edmunds.com/tesla/model-x/2026/st-402085867/features-specs/</x:v>
      </x:c>
      <x:c r="U149" s="4" t="str">
        <x:v>tesla-model-x-2026-plaid-awd</x:v>
      </x:c>
    </x:row>
    <x:row r="150">
      <x:c r="A150" s="4" t="str">
        <x:v>Older model year · check stock</x:v>
      </x:c>
      <x:c r="B150" s="4" t="str">
        <x:v>Rivian</x:v>
      </x:c>
      <x:c r="C150" s="4" t="str">
        <x:v>R1S</x:v>
      </x:c>
      <x:c r="D150" s="4" t="n">
        <x:v>2025</x:v>
      </x:c>
      <x:c r="E150" s="4" t="str">
        <x:v>Quad-Motor AWD (Max Pack)</x:v>
      </x:c>
      <x:c r="F150" s="17" t="n">
        <x:v>121990</x:v>
      </x:c>
      <x:c r="G150" s="4" t="n">
        <x:v>374</x:v>
      </x:c>
      <x:c r="H150" s="4" t="n">
        <x:v>141.5</x:v>
      </x:c>
      <x:c r="I150" s="20" t="n">
        <x:v>2.6</x:v>
      </x:c>
      <x:c r="J150" s="4" t="n">
        <x:v>220</x:v>
      </x:c>
      <x:c r="K150" s="4" t="str">
        <x:v>SUV</x:v>
      </x:c>
      <x:c r="L150" s="4" t="str">
        <x:v>Standard SUV</x:v>
      </x:c>
      <x:c r="M150" s="4" t="n">
        <x:v>7</x:v>
      </x:c>
      <x:c r="N150" s="4" t="n">
        <x:v>17.6</x:v>
      </x:c>
      <x:c r="O150" s="4"/>
      <x:c r="P150" s="4" t="str">
        <x:v>2026-09-01</x:v>
      </x:c>
      <x:c r="Q150" s="4" t="str">
        <x:v>https://evcompare.org/2025/r1s/quad-motor-awd-max-pack/</x:v>
      </x:c>
      <x:c r="R150" s="4" t="str">
        <x:v>https://rivian.com/r1s</x:v>
      </x:c>
      <x:c r="S150" s="4" t="str">
        <x:v>https://www.fueleconomy.gov/feg/PowerSearch.do?action=noform&amp;path=1&amp;year1=2025&amp;year2=2025&amp;make=Rivian&amp;baseModel=R1S&amp;srchtyp=ymm&amp;pageno=1&amp;rowLimit=50</x:v>
      </x:c>
      <x:c r="T150" s="4" t="str">
        <x:v>https://www.caranddriver.com/rivian/r1s</x:v>
      </x:c>
      <x:c r="U150" s="4" t="str">
        <x:v>rivian-r1s-2025-quad-motor-awd-max-pack</x:v>
      </x:c>
    </x:row>
    <x:row r="151">
      <x:c r="A151" s="4" t="str">
        <x:v>Outside initial size screen</x:v>
      </x:c>
      <x:c r="B151" s="4" t="str">
        <x:v>BMW</x:v>
      </x:c>
      <x:c r="C151" s="4" t="str">
        <x:v>i7</x:v>
      </x:c>
      <x:c r="D151" s="4" t="n">
        <x:v>2026</x:v>
      </x:c>
      <x:c r="E151" s="4" t="str">
        <x:v>xDrive60</x:v>
      </x:c>
      <x:c r="F151" s="17" t="n">
        <x:v>124200</x:v>
      </x:c>
      <x:c r="G151" s="4" t="n">
        <x:v>311</x:v>
      </x:c>
      <x:c r="H151" s="4" t="n">
        <x:v>101.7</x:v>
      </x:c>
      <x:c r="I151" s="20" t="n">
        <x:v>4.5</x:v>
      </x:c>
      <x:c r="J151" s="4" t="n">
        <x:v>195</x:v>
      </x:c>
      <x:c r="K151" s="4" t="str">
        <x:v>Sedan</x:v>
      </x:c>
      <x:c r="L151" s="4" t="str">
        <x:v>Large Car</x:v>
      </x:c>
      <x:c r="M151" s="4" t="n">
        <x:v>5</x:v>
      </x:c>
      <x:c r="N151" s="4" t="n">
        <x:v>17.7</x:v>
      </x:c>
      <x:c r="O151" s="4"/>
      <x:c r="P151" s="4" t="str">
        <x:v>2026-08-28</x:v>
      </x:c>
      <x:c r="Q151" s="4" t="str">
        <x:v>https://evcompare.org/2026/i7/xdrive60/</x:v>
      </x:c>
      <x:c r="R151" s="4" t="str">
        <x:v>https://www.bmwusa.com/vehicles/7-series/sedan/bmw-i7-sedan.html</x:v>
      </x:c>
      <x:c r="S151" s="4" t="str">
        <x:v>https://www.fueleconomy.gov/feg/Find.do?action=sbs&amp;id=49945</x:v>
      </x:c>
      <x:c r="T151" s="4" t="str">
        <x:v>https://www.edmunds.com/bmw/i7/</x:v>
      </x:c>
      <x:c r="U151" s="4" t="str">
        <x:v>bmw-i7-2026-xdrive60</x:v>
      </x:c>
    </x:row>
    <x:row r="152">
      <x:c r="A152" s="4" t="str">
        <x:v>Older model year · check stock</x:v>
      </x:c>
      <x:c r="B152" s="4" t="str">
        <x:v>Audi</x:v>
      </x:c>
      <x:c r="C152" s="4" t="str">
        <x:v>e-tron GT</x:v>
      </x:c>
      <x:c r="D152" s="4" t="n">
        <x:v>2025</x:v>
      </x:c>
      <x:c r="E152" s="4" t="str">
        <x:v>S e-tron GT Premium Plus quattro</x:v>
      </x:c>
      <x:c r="F152" s="17" t="n">
        <x:v>125500</x:v>
      </x:c>
      <x:c r="G152" s="4" t="n">
        <x:v>300</x:v>
      </x:c>
      <x:c r="H152" s="4" t="n">
        <x:v>97</x:v>
      </x:c>
      <x:c r="I152" s="20" t="n">
        <x:v>3.3</x:v>
      </x:c>
      <x:c r="J152" s="4" t="n">
        <x:v>320</x:v>
      </x:c>
      <x:c r="K152" s="4" t="str">
        <x:v>Sedan</x:v>
      </x:c>
      <x:c r="L152" s="4" t="str">
        <x:v>Subcompact Car</x:v>
      </x:c>
      <x:c r="M152" s="4" t="n">
        <x:v>5</x:v>
      </x:c>
      <x:c r="N152" s="4" t="n">
        <x:v>9.2</x:v>
      </x:c>
      <x:c r="O152" s="4"/>
      <x:c r="P152" s="4" t="str">
        <x:v>2026-08-28</x:v>
      </x:c>
      <x:c r="Q152" s="4" t="str">
        <x:v>https://evcompare.org/2025/e-tron-gt/s-e-tron-gt-premium-plus-quattro/</x:v>
      </x:c>
      <x:c r="R152" s="4" t="str">
        <x:v>https://media.audiusa.com/models/e-tron-gt-rs-e-tron-gt</x:v>
      </x:c>
      <x:c r="S152" s="4" t="str">
        <x:v>https://www.fueleconomy.gov/feg/Find.do?action=sbs&amp;id=48688</x:v>
      </x:c>
      <x:c r="T152" s="4" t="str">
        <x:v>https://cars.usnews.com/cars-trucks/audi/e-tron-gt</x:v>
      </x:c>
      <x:c r="U152" s="4" t="str">
        <x:v>audi-s-e-tron-gt-2025-premium-plus-quattro</x:v>
      </x:c>
    </x:row>
    <x:row r="153">
      <x:c r="A153" s="4" t="str">
        <x:v>Older model year · check stock</x:v>
      </x:c>
      <x:c r="B153" s="4" t="str">
        <x:v>Mercedes-Benz</x:v>
      </x:c>
      <x:c r="C153" s="4" t="str">
        <x:v>EQS Sedan</x:v>
      </x:c>
      <x:c r="D153" s="4" t="n">
        <x:v>2025</x:v>
      </x:c>
      <x:c r="E153" s="4" t="str">
        <x:v>580 4MATIC</x:v>
      </x:c>
      <x:c r="F153" s="17" t="n">
        <x:v>127350</x:v>
      </x:c>
      <x:c r="G153" s="4" t="n">
        <x:v>371</x:v>
      </x:c>
      <x:c r="H153" s="4" t="n">
        <x:v>118</x:v>
      </x:c>
      <x:c r="I153" s="20" t="n">
        <x:v>4.1</x:v>
      </x:c>
      <x:c r="J153" s="4" t="n">
        <x:v>200</x:v>
      </x:c>
      <x:c r="K153" s="4" t="str">
        <x:v>Sedan</x:v>
      </x:c>
      <x:c r="L153" s="4" t="str">
        <x:v>Large Car</x:v>
      </x:c>
      <x:c r="M153" s="4" t="n">
        <x:v>5</x:v>
      </x:c>
      <x:c r="N153" s="4" t="n">
        <x:v>22</x:v>
      </x:c>
      <x:c r="O153" s="4"/>
      <x:c r="P153" s="4" t="str">
        <x:v>2026-08-28</x:v>
      </x:c>
      <x:c r="Q153" s="4" t="str">
        <x:v>https://evcompare.org/2025/eqs-sedan/580-4matic/</x:v>
      </x:c>
      <x:c r="R153" s="4" t="str">
        <x:v>https://www.mbusa.com/en/vehicles/class/eqs/sedan</x:v>
      </x:c>
      <x:c r="S153" s="4" t="str">
        <x:v>https://www.fueleconomy.gov/feg/Find.do?action=sbs&amp;id=48389</x:v>
      </x:c>
      <x:c r="T153" s="4" t="str">
        <x:v>https://www.cars.com/research/mercedes_benz-eqs_580-2025/</x:v>
      </x:c>
      <x:c r="U153" s="4" t="str">
        <x:v>mercedes-benz-eqs-sedan-2025-580-4matic</x:v>
      </x:c>
    </x:row>
    <x:row r="154">
      <x:c r="A154" s="4" t="str">
        <x:v>Outside initial size screen</x:v>
      </x:c>
      <x:c r="B154" s="4" t="str">
        <x:v>Cadillac</x:v>
      </x:c>
      <x:c r="C154" s="4" t="str">
        <x:v>Escalade IQ</x:v>
      </x:c>
      <x:c r="D154" s="4" t="n">
        <x:v>2026</x:v>
      </x:c>
      <x:c r="E154" s="4" t="str">
        <x:v>Luxury AWD</x:v>
      </x:c>
      <x:c r="F154" s="17" t="n">
        <x:v>127405</x:v>
      </x:c>
      <x:c r="G154" s="4" t="n">
        <x:v>465</x:v>
      </x:c>
      <x:c r="H154" s="4" t="n">
        <x:v>205</x:v>
      </x:c>
      <x:c r="I154" s="20" t="n">
        <x:v>4.7</x:v>
      </x:c>
      <x:c r="J154" s="4" t="n">
        <x:v>350</x:v>
      </x:c>
      <x:c r="K154" s="4" t="str">
        <x:v>SUV</x:v>
      </x:c>
      <x:c r="L154" s="4"/>
      <x:c r="M154" s="4" t="n">
        <x:v>7</x:v>
      </x:c>
      <x:c r="N154" s="4" t="n">
        <x:v>23.6</x:v>
      </x:c>
      <x:c r="O154" s="4"/>
      <x:c r="P154" s="4" t="str">
        <x:v>2026-08-21</x:v>
      </x:c>
      <x:c r="Q154" s="4" t="str">
        <x:v>https://evcompare.org/2026/escalade-iq/luxury-awd/</x:v>
      </x:c>
      <x:c r="R154" s="4" t="str">
        <x:v>https://www.cadillac.com/electric/escalade-iq/specs</x:v>
      </x:c>
      <x:c r="S154" s="4" t="str">
        <x:v>https://cars.usnews.com/cars-trucks/cadillac/escalade-iq</x:v>
      </x:c>
      <x:c r="T154" s="4" t="str">
        <x:v>https://cars.usnews.com/cars-trucks/cadillac/escalade-iq</x:v>
      </x:c>
      <x:c r="U154" s="4" t="str">
        <x:v>cadillac-escalade-iq-2026-luxury-awd</x:v>
      </x:c>
    </x:row>
    <x:row r="155">
      <x:c r="A155" s="4" t="str">
        <x:v>Older model year · check stock</x:v>
      </x:c>
      <x:c r="B155" s="4" t="str">
        <x:v>Mercedes-Benz</x:v>
      </x:c>
      <x:c r="C155" s="4" t="str">
        <x:v>EQS SUV</x:v>
      </x:c>
      <x:c r="D155" s="4" t="n">
        <x:v>2025</x:v>
      </x:c>
      <x:c r="E155" s="4" t="str">
        <x:v>580 4MATIC</x:v>
      </x:c>
      <x:c r="F155" s="17" t="n">
        <x:v>128200</x:v>
      </x:c>
      <x:c r="G155" s="4" t="n">
        <x:v>317</x:v>
      </x:c>
      <x:c r="H155" s="4" t="n">
        <x:v>118</x:v>
      </x:c>
      <x:c r="I155" s="20" t="n">
        <x:v>4.4</x:v>
      </x:c>
      <x:c r="J155" s="4" t="n">
        <x:v>200</x:v>
      </x:c>
      <x:c r="K155" s="4" t="str">
        <x:v>SUV</x:v>
      </x:c>
      <x:c r="L155" s="4" t="str">
        <x:v>Standard SUV</x:v>
      </x:c>
      <x:c r="M155" s="4" t="n">
        <x:v>7</x:v>
      </x:c>
      <x:c r="N155" s="4" t="n">
        <x:v>31</x:v>
      </x:c>
      <x:c r="O155" s="4"/>
      <x:c r="P155" s="4" t="str">
        <x:v>2026-08-21</x:v>
      </x:c>
      <x:c r="Q155" s="4" t="str">
        <x:v>https://evcompare.org/2025/eqs-suv/580-4matic/</x:v>
      </x:c>
      <x:c r="R155" s="4" t="str">
        <x:v>https://www.mbusa.com/en/vehicles/class/eqs/suv</x:v>
      </x:c>
      <x:c r="S155" s="4" t="str">
        <x:v>https://www.fueleconomy.gov/feg/Find.do?action=sbs&amp;id=48396</x:v>
      </x:c>
      <x:c r="T155" s="4" t="str">
        <x:v>https://www.edmunds.com/mercedes-benz/eqs-suv/2025/eqs-580-4matic/</x:v>
      </x:c>
      <x:c r="U155" s="4" t="str">
        <x:v>mercedes-benz-eqs-suv-2025-580-4matic</x:v>
      </x:c>
    </x:row>
    <x:row r="156">
      <x:c r="A156" s="4" t="str">
        <x:v>Outside initial size screen</x:v>
      </x:c>
      <x:c r="B156" s="4" t="str">
        <x:v>Cadillac</x:v>
      </x:c>
      <x:c r="C156" s="4" t="str">
        <x:v>Escalade IQ</x:v>
      </x:c>
      <x:c r="D156" s="4" t="n">
        <x:v>2026</x:v>
      </x:c>
      <x:c r="E156" s="4" t="str">
        <x:v>Premium Sport AWD</x:v>
      </x:c>
      <x:c r="F156" s="17" t="n">
        <x:v>148205</x:v>
      </x:c>
      <x:c r="G156" s="4" t="n">
        <x:v>465</x:v>
      </x:c>
      <x:c r="H156" s="4" t="n">
        <x:v>205</x:v>
      </x:c>
      <x:c r="I156" s="20" t="n">
        <x:v>4.7</x:v>
      </x:c>
      <x:c r="J156" s="4" t="n">
        <x:v>350</x:v>
      </x:c>
      <x:c r="K156" s="4" t="str">
        <x:v>SUV</x:v>
      </x:c>
      <x:c r="L156" s="4"/>
      <x:c r="M156" s="4" t="n">
        <x:v>7</x:v>
      </x:c>
      <x:c r="N156" s="4" t="n">
        <x:v>23.6</x:v>
      </x:c>
      <x:c r="O156" s="4"/>
      <x:c r="P156" s="4" t="str">
        <x:v>2026-08-21</x:v>
      </x:c>
      <x:c r="Q156" s="4" t="str">
        <x:v>https://evcompare.org/2026/escalade-iq/premium-sport-awd/</x:v>
      </x:c>
      <x:c r="R156" s="4" t="str">
        <x:v>https://www.cadillac.com/electric/escalade-iq/specs</x:v>
      </x:c>
      <x:c r="S156" s="4" t="str">
        <x:v>https://cars.usnews.com/cars-trucks/cadillac/escalade-iq</x:v>
      </x:c>
      <x:c r="T156" s="4" t="str">
        <x:v>https://cars.usnews.com/cars-trucks/cadillac/escalade-iq</x:v>
      </x:c>
      <x:c r="U156" s="4" t="str">
        <x:v>cadillac-escalade-iq-2026-premium-sport-awd</x:v>
      </x:c>
    </x:row>
    <x:row r="157">
      <x:c r="A157" s="4" t="str">
        <x:v>Outside initial size screen</x:v>
      </x:c>
      <x:c r="B157" s="4" t="str">
        <x:v>Porsche</x:v>
      </x:c>
      <x:c r="C157" s="4" t="str">
        <x:v>Cayenne Electric</x:v>
      </x:c>
      <x:c r="D157" s="4" t="n">
        <x:v>2026</x:v>
      </x:c>
      <x:c r="E157" s="4" t="str">
        <x:v>Turbo</x:v>
      </x:c>
      <x:c r="F157" s="17" t="n">
        <x:v>163000</x:v>
      </x:c>
      <x:c r="G157" s="4" t="str">
        <x:v>Pending</x:v>
      </x:c>
      <x:c r="H157" s="4" t="n">
        <x:v>113</x:v>
      </x:c>
      <x:c r="I157" s="20" t="n">
        <x:v>2.4</x:v>
      </x:c>
      <x:c r="J157" s="4" t="n">
        <x:v>400</x:v>
      </x:c>
      <x:c r="K157" s="4" t="str">
        <x:v>SUV</x:v>
      </x:c>
      <x:c r="L157" s="4"/>
      <x:c r="M157" s="4" t="n">
        <x:v>5</x:v>
      </x:c>
      <x:c r="N157" s="4" t="n">
        <x:v>27.6</x:v>
      </x:c>
      <x:c r="O157" s="4"/>
      <x:c r="P157" s="4" t="str">
        <x:v>2026-08-28</x:v>
      </x:c>
      <x:c r="Q157" s="4" t="str">
        <x:v>https://evcompare.org/2026/cayenne-electric/turbo/</x:v>
      </x:c>
      <x:c r="R157" s="4" t="str">
        <x:v>https://www.porsche.com/usa/models/cayenne/cayenne-electric-models/cayenne-turbo-electric/</x:v>
      </x:c>
      <x:c r="S157" s="4" t="str">
        <x:v>https://www.edmunds.com/porsche/cayenne/2026/mpg/</x:v>
      </x:c>
      <x:c r="T157" s="4" t="str">
        <x:v>https://www.edmunds.com/porsche/cayenne/2026/electric/</x:v>
      </x:c>
      <x:c r="U157" s="4" t="str">
        <x:v>porsche-cayenne-electric-2026-turbo</x:v>
      </x:c>
    </x:row>
    <x:row r="158">
      <x:c r="A158" s="4" t="str">
        <x:v>Outside initial size screen</x:v>
      </x:c>
      <x:c r="B158" s="4" t="str">
        <x:v>Mercedes-Benz</x:v>
      </x:c>
      <x:c r="C158" s="4" t="str">
        <x:v>G-Class</x:v>
      </x:c>
      <x:c r="D158" s="4" t="n">
        <x:v>2026</x:v>
      </x:c>
      <x:c r="E158" s="4" t="str">
        <x:v>G 580 w/EQ Technology</x:v>
      </x:c>
      <x:c r="F158" s="17" t="n">
        <x:v>163200</x:v>
      </x:c>
      <x:c r="G158" s="4" t="n">
        <x:v>239</x:v>
      </x:c>
      <x:c r="H158" s="4" t="n">
        <x:v>116</x:v>
      </x:c>
      <x:c r="I158" s="20" t="n">
        <x:v>4.6</x:v>
      </x:c>
      <x:c r="J158" s="4" t="n">
        <x:v>200</x:v>
      </x:c>
      <x:c r="K158" s="4" t="str">
        <x:v>SUV</x:v>
      </x:c>
      <x:c r="L158" s="4" t="str">
        <x:v>Standard SUV</x:v>
      </x:c>
      <x:c r="M158" s="4" t="n">
        <x:v>5</x:v>
      </x:c>
      <x:c r="N158" s="4" t="n">
        <x:v>34.8</x:v>
      </x:c>
      <x:c r="O158" s="4"/>
      <x:c r="P158" s="4" t="str">
        <x:v>2026-08-28</x:v>
      </x:c>
      <x:c r="Q158" s="4" t="str">
        <x:v>https://evcompare.org/2026/g-class/g-580-w-eq-technology/</x:v>
      </x:c>
      <x:c r="R158" s="4" t="str">
        <x:v>https://www.mbusa.com/en/vehicles/model/g-class/suv/g580w4e</x:v>
      </x:c>
      <x:c r="S158" s="4" t="str">
        <x:v>https://www.fueleconomy.gov/feg/Find.do?action=sbs&amp;id=49687</x:v>
      </x:c>
      <x:c r="T158" s="4" t="str">
        <x:v>https://www.edmunds.com/car-news/2025-mercedes-benz-g-580-ev-track-range-tested.html</x:v>
      </x:c>
      <x:c r="U158" s="4" t="str">
        <x:v>mercedes-benz-g-class-2026-g580-eq-technology</x:v>
      </x:c>
    </x:row>
    <x:row r="159">
      <x:c r="A159" s="4" t="str">
        <x:v>Older model year · check stock</x:v>
      </x:c>
      <x:c r="B159" s="4" t="str">
        <x:v>Audi</x:v>
      </x:c>
      <x:c r="C159" s="4" t="str">
        <x:v>e-tron GT</x:v>
      </x:c>
      <x:c r="D159" s="4" t="n">
        <x:v>2025</x:v>
      </x:c>
      <x:c r="E159" s="4" t="str">
        <x:v>RS e-tron GT performance</x:v>
      </x:c>
      <x:c r="F159" s="17" t="n">
        <x:v>167000</x:v>
      </x:c>
      <x:c r="G159" s="4" t="n">
        <x:v>278</x:v>
      </x:c>
      <x:c r="H159" s="4" t="n">
        <x:v>97</x:v>
      </x:c>
      <x:c r="I159" s="20" t="n">
        <x:v>2.4</x:v>
      </x:c>
      <x:c r="J159" s="4" t="n">
        <x:v>320</x:v>
      </x:c>
      <x:c r="K159" s="4" t="str">
        <x:v>Sedan</x:v>
      </x:c>
      <x:c r="L159" s="4" t="str">
        <x:v>Subcompact Car</x:v>
      </x:c>
      <x:c r="M159" s="4" t="n">
        <x:v>5</x:v>
      </x:c>
      <x:c r="N159" s="4" t="n">
        <x:v>9.2</x:v>
      </x:c>
      <x:c r="O159" s="4"/>
      <x:c r="P159" s="4" t="str">
        <x:v>2026-08-28</x:v>
      </x:c>
      <x:c r="Q159" s="4" t="str">
        <x:v>https://evcompare.org/2025/e-tron-gt/rs-e-tron-gt-performance/</x:v>
      </x:c>
      <x:c r="R159" s="4" t="str">
        <x:v>https://media.audiusa.com/models/e-tron-gt-rs-e-tron-gt</x:v>
      </x:c>
      <x:c r="S159" s="4" t="str">
        <x:v>https://www.fueleconomy.gov/feg/Find.do?action=sbs&amp;id=48993</x:v>
      </x:c>
      <x:c r="T159" s="4" t="str">
        <x:v>https://www.cars.com/research/audi-rs_e_tron_gt-2025/</x:v>
      </x:c>
      <x:c r="U159" s="4" t="str">
        <x:v>audi-rs-e-tron-gt-2025</x:v>
      </x:c>
    </x:row>
    <x:row r="160">
      <x:c r="A160" s="4" t="str">
        <x:v>Outside initial size screen</x:v>
      </x:c>
      <x:c r="B160" s="4" t="str">
        <x:v>Mercedes-Maybach</x:v>
      </x:c>
      <x:c r="C160" s="4" t="str">
        <x:v>EQS SUV</x:v>
      </x:c>
      <x:c r="D160" s="4" t="n">
        <x:v>2026</x:v>
      </x:c>
      <x:c r="E160" s="4" t="str">
        <x:v>680 4MATIC</x:v>
      </x:c>
      <x:c r="F160" s="17" t="n">
        <x:v>180000</x:v>
      </x:c>
      <x:c r="G160" s="4" t="n">
        <x:v>300</x:v>
      </x:c>
      <x:c r="H160" s="4" t="n">
        <x:v>118</x:v>
      </x:c>
      <x:c r="I160" s="20" t="n">
        <x:v>4.2</x:v>
      </x:c>
      <x:c r="J160" s="4" t="n">
        <x:v>200</x:v>
      </x:c>
      <x:c r="K160" s="4" t="str">
        <x:v>SUV</x:v>
      </x:c>
      <x:c r="L160" s="4" t="str">
        <x:v>Standard SUV</x:v>
      </x:c>
      <x:c r="M160" s="4" t="n">
        <x:v>5</x:v>
      </x:c>
      <x:c r="N160" s="4" t="n">
        <x:v>15.5</x:v>
      </x:c>
      <x:c r="O160" s="4"/>
      <x:c r="P160" s="4" t="str">
        <x:v>2026-08-28</x:v>
      </x:c>
      <x:c r="Q160" s="4" t="str">
        <x:v>https://evcompare.org/2026/eqs-suv/680-4matic/</x:v>
      </x:c>
      <x:c r="R160" s="4" t="str">
        <x:v>https://www.mbusa.com/en/vehicles/model/eqs/suv/eqs680z4</x:v>
      </x:c>
      <x:c r="S160" s="4" t="str">
        <x:v>https://www.fueleconomy.gov/feg/Find.do?action=sbs&amp;id=49690</x:v>
      </x:c>
      <x:c r="T160" s="4" t="str">
        <x:v>https://www.edmunds.com/mercedes-benz/maybach-eqs-suv/</x:v>
      </x:c>
      <x:c r="U160" s="4" t="str">
        <x:v>mercedes-maybach-eqs-suv-2026-680-4matic</x:v>
      </x:c>
    </x:row>
    <x:row r="161">
      <x:c r="A161" s="4" t="str">
        <x:v>Older model year · check stock</x:v>
      </x:c>
      <x:c r="B161" s="4" t="str">
        <x:v>Porsche</x:v>
      </x:c>
      <x:c r="C161" s="4" t="str">
        <x:v>Taycan</x:v>
      </x:c>
      <x:c r="D161" s="4" t="n">
        <x:v>2025</x:v>
      </x:c>
      <x:c r="E161" s="4" t="str">
        <x:v>Turbo S</x:v>
      </x:c>
      <x:c r="F161" s="17" t="n">
        <x:v>210995</x:v>
      </x:c>
      <x:c r="G161" s="4" t="n">
        <x:v>266</x:v>
      </x:c>
      <x:c r="H161" s="4" t="n">
        <x:v>97</x:v>
      </x:c>
      <x:c r="I161" s="20" t="n">
        <x:v>2.3</x:v>
      </x:c>
      <x:c r="J161" s="4" t="n">
        <x:v>320</x:v>
      </x:c>
      <x:c r="K161" s="4" t="str">
        <x:v>Sedan</x:v>
      </x:c>
      <x:c r="L161" s="4" t="str">
        <x:v>Compact Car</x:v>
      </x:c>
      <x:c r="M161" s="4" t="n">
        <x:v>4</x:v>
      </x:c>
      <x:c r="N161" s="4" t="n">
        <x:v>14.3</x:v>
      </x:c>
      <x:c r="O161" s="4"/>
      <x:c r="P161" s="4" t="str">
        <x:v>2026-08-28</x:v>
      </x:c>
      <x:c r="Q161" s="4" t="str">
        <x:v>https://evcompare.org/2025/taycan/turbo-s/</x:v>
      </x:c>
      <x:c r="R161" s="4" t="str">
        <x:v>https://www.porsche.com/usa/models/taycan/taycan-range/</x:v>
      </x:c>
      <x:c r="S161" s="4" t="str">
        <x:v>https://www.fueleconomy.gov/feg/Find.do?action=sbs&amp;id=48739</x:v>
      </x:c>
      <x:c r="T161" s="4" t="str">
        <x:v>https://cars.usnews.com/cars-trucks/porsche/taycan/interior</x:v>
      </x:c>
      <x:c r="U161" s="4" t="str">
        <x:v>porsche-taycan-2025-turbo-s-awd</x:v>
      </x:c>
    </x:row>
    <x:row r="162">
      <x:c r="A162" s="4" t="str">
        <x:v>Older model year · check stock</x:v>
      </x:c>
      <x:c r="B162" s="4" t="str">
        <x:v>Polestar</x:v>
      </x:c>
      <x:c r="C162" s="4" t="str">
        <x:v>2</x:v>
      </x:c>
      <x:c r="D162" s="4" t="n">
        <x:v>2025</x:v>
      </x:c>
      <x:c r="E162" s="4" t="str">
        <x:v>Long Range Single Motor</x:v>
      </x:c>
      <x:c r="F162" s="17"/>
      <x:c r="G162" s="4" t="n">
        <x:v>314</x:v>
      </x:c>
      <x:c r="H162" s="4" t="n">
        <x:v>79</x:v>
      </x:c>
      <x:c r="I162" s="20" t="n">
        <x:v>5.9</x:v>
      </x:c>
      <x:c r="J162" s="4" t="n">
        <x:v>205</x:v>
      </x:c>
      <x:c r="K162" s="4" t="str">
        <x:v>Hatchback</x:v>
      </x:c>
      <x:c r="L162" s="4" t="str">
        <x:v>Midsize Car</x:v>
      </x:c>
      <x:c r="M162" s="4" t="n">
        <x:v>5</x:v>
      </x:c>
      <x:c r="N162" s="4" t="n">
        <x:v>14.4</x:v>
      </x:c>
      <x:c r="O162" s="4"/>
      <x:c r="P162" s="4" t="str">
        <x:v>2026-08-21</x:v>
      </x:c>
      <x:c r="Q162" s="4" t="str">
        <x:v>https://evcompare.org/2025/2/long-range-single-motor/</x:v>
      </x:c>
      <x:c r="R162" s="4" t="str">
        <x:v>https://www.polestar.com/us/polestar-2/specifications/</x:v>
      </x:c>
      <x:c r="S162" s="4" t="str">
        <x:v>https://www.fueleconomy.gov/feg/Find.do?action=sbs&amp;id=48405</x:v>
      </x:c>
      <x:c r="T162" s="4" t="str">
        <x:v>https://www.cars.com/research/polestar-2-2025/</x:v>
      </x:c>
      <x:c r="U162" s="4" t="str">
        <x:v>polestar-2-2025-single-motor-long-range-rwd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.5" hidden="0" customWidth="1"/>
    <x:col min="2" max="2" width="17.75" hidden="0" customWidth="1"/>
    <x:col min="3" max="3" width="9.380000114440918" hidden="0" customWidth="1"/>
    <x:col min="4" max="4" width="12.5" hidden="0" customWidth="1"/>
    <x:col min="5" max="5" width="13" hidden="0" customWidth="1"/>
    <x:col min="6" max="6" width="9.75" hidden="0" customWidth="1"/>
    <x:col min="7" max="7" width="22.5" hidden="0" customWidth="1"/>
    <x:col min="8" max="8" width="12.880000114440918" hidden="0" customWidth="1"/>
    <x:col min="9" max="9" width="13.5" hidden="0" customWidth="1"/>
    <x:col min="10" max="10" width="33.130001068115234" hidden="0" customWidth="1"/>
    <x:col min="11" max="11" width="39.380001068115234" hidden="0" customWidth="1"/>
    <x:col min="12" max="12" width="40" hidden="0" customWidth="1"/>
    <x:col min="13" max="13" width="40" hidden="0" customWidth="1"/>
    <x:col min="14" max="14" width="105" hidden="0" customWidth="1"/>
    <x:col min="15" max="15" width="125" hidden="0" customWidth="1"/>
    <x:col min="16" max="16" width="210" hidden="0" customWidth="1"/>
  </x:cols>
  <x:sheetData>
    <x:row r="2">
      <x:c r="A2" s="40" t="str">
        <x:v>Part 1   U.S. EV price screen</x:v>
      </x:c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</x:row>
    <x:row r="3">
      <x:c r="A3" s="38" t="str">
        <x:v>Research checked Nov 5, 2026. Guide figures describe the guide model year. Selected prices are a screening snapshot.</x:v>
      </x:c>
      <x:c r="B3" s="38"/>
      <x:c r="C3" s="38"/>
      <x:c r="D3" s="38"/>
      <x:c r="E3" s="38"/>
      <x:c r="F3" s="38"/>
      <x:c r="G3" s="38"/>
      <x:c r="H3" s="38"/>
      <x:c r="I3" s="38"/>
      <x:c r="J3" s="38"/>
      <x:c r="K3" s="38"/>
      <x:c r="L3" s="38"/>
      <x:c r="M3" s="38"/>
    </x:row>
    <x:row r="4">
      <x:c r="A4" s="38" t="str">
        <x:v>Priced rows sort by selected-trim price or price lead. See the status column for inclusion and open checks.</x:v>
      </x:c>
      <x:c r="B4" s="38"/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</x:row>
    <x:row r="5">
      <x:c r="A5" s="38" t="str">
        <x:v>Guide figures and selected prices have separate locators. Size columns show matched candidate records where available. Cargo is behind the rear seats.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</x:row>
    <x:row r="6">
      <x:c r="A6" s="38"/>
      <x:c r="B6" s="38"/>
      <x:c r="C6" s="38"/>
      <x:c r="D6" s="38"/>
      <x:c r="E6" s="38"/>
      <x:c r="F6" s="38"/>
      <x:c r="G6" s="38"/>
      <x:c r="H6" s="38"/>
      <x:c r="I6" s="38"/>
      <x:c r="J6" s="38"/>
      <x:c r="K6" s="38"/>
      <x:c r="L6" s="38"/>
      <x:c r="M6" s="38"/>
    </x:row>
    <x:row r="7" ht="35" customHeight="1">
      <x:c r="A7" s="45" t="str">
        <x:v>Make</x:v>
      </x:c>
      <x:c r="B7" s="45" t="str">
        <x:v>Model</x:v>
      </x:c>
      <x:c r="C7" s="45" t="str">
        <x:v>Guide year</x:v>
      </x:c>
      <x:c r="D7" s="45" t="str">
        <x:v>Guide base price ($)</x:v>
      </x:c>
      <x:c r="E7" s="45" t="str">
        <x:v>Guide max range (mi)</x:v>
      </x:c>
      <x:c r="F7" s="45" t="str">
        <x:v>Selected year</x:v>
      </x:c>
      <x:c r="G7" s="45" t="str">
        <x:v>Longest-range trim</x:v>
      </x:c>
      <x:c r="H7" s="45" t="str">
        <x:v>Selected range (mi)</x:v>
      </x:c>
      <x:c r="I7" s="45" t="str">
        <x:v>Selected price ($)</x:v>
      </x:c>
      <x:c r="J7" s="45" t="str">
        <x:v>Selected source locator</x:v>
      </x:c>
      <x:c r="K7" s="45" t="str">
        <x:v>Status / open check</x:v>
      </x:c>
      <x:c r="L7" s="45" t="str">
        <x:v>Guide URL</x:v>
      </x:c>
      <x:c r="M7" s="45" t="str">
        <x:v>Cross-check URL</x:v>
      </x:c>
      <x:c r="N7" s="29" t="str">
        <x:v>Seats (screen)</x:v>
      </x:c>
      <x:c r="O7" s="29" t="str">
        <x:v>Rear cargo (ft³, screen)</x:v>
      </x:c>
      <x:c r="P7" s="29" t="str">
        <x:v>Size evidence</x:v>
      </x:c>
    </x:row>
    <x:row r="8" ht="49" customHeight="1">
      <x:c r="A8" s="38" t="str">
        <x:v>Chevrolet</x:v>
      </x:c>
      <x:c r="B8" s="38" t="str">
        <x:v>Bolt</x:v>
      </x:c>
      <x:c r="C8" s="38" t="n">
        <x:v>2027</x:v>
      </x:c>
      <x:c r="D8" s="47" t="n">
        <x:v>28995</x:v>
      </x:c>
      <x:c r="E8" s="38" t="n">
        <x:v>262</x:v>
      </x:c>
      <x:c r="F8" s="38" t="n">
        <x:v>2027</x:v>
      </x:c>
      <x:c r="G8" s="46" t="str">
        <x:v>LT FWD</x:v>
      </x:c>
      <x:c r="H8" s="46" t="n">
        <x:v>262</x:v>
      </x:c>
      <x:c r="I8" s="107" t="n">
        <x:v>28995</x:v>
      </x:c>
      <x:c r="J8" s="46" t="str">
        <x:v>Price E05 · battery E06 · range E07 · 0–60 E08 · DC E09 · stock E10 · size E11</x:v>
      </x:c>
      <x:c r="K8" s="46" t="str">
        <x:v>Included. Required specs sourced. New listing found. Price includes destination.</x:v>
      </x:c>
      <x:c r="L8" s="46" t="str">
        <x:v>https://insideevs.com/features/764148/cheapest-electric-cars-best-list/</x:v>
      </x:c>
      <x:c r="M8" s="46" t="str">
        <x:v>https://www.caranddriver.com/rankings/best-electric-cars/cheapest</x:v>
      </x:c>
      <x:c r="N8" s="29" t="n">
        <x:f>Candidates!M9</x:f>
        <x:v>5</x:v>
      </x:c>
      <x:c r="O8" s="29" t="n">
        <x:f>Candidates!N9</x:f>
        <x:v>16.2</x:v>
      </x:c>
      <x:c r="P8" s="29" t="str">
        <x:v>EV Compare via Candidates row 9</x:v>
      </x:c>
    </x:row>
    <x:row r="9" ht="49" customHeight="1">
      <x:c r="A9" s="38" t="str">
        <x:v>Nissan</x:v>
      </x:c>
      <x:c r="B9" s="38" t="str">
        <x:v>Leaf</x:v>
      </x:c>
      <x:c r="C9" s="38" t="n">
        <x:v>2026</x:v>
      </x:c>
      <x:c r="D9" s="47" t="n">
        <x:v>31535</x:v>
      </x:c>
      <x:c r="E9" s="38" t="n">
        <x:v>303</x:v>
      </x:c>
      <x:c r="F9" s="38" t="n">
        <x:v>2026</x:v>
      </x:c>
      <x:c r="G9" s="46" t="str">
        <x:v>S+ FWD</x:v>
      </x:c>
      <x:c r="H9" s="46" t="n">
        <x:v>303</x:v>
      </x:c>
      <x:c r="I9" s="107" t="n">
        <x:v>31535</x:v>
      </x:c>
      <x:c r="J9" s="46" t="str">
        <x:v>E12–E18 and E140</x:v>
      </x:c>
      <x:c r="K9" s="46" t="str">
        <x:v>Included. S+ 0–60 is a trim-specific estimate. New San José stock.</x:v>
      </x:c>
      <x:c r="L9" s="46" t="str">
        <x:v>https://insideevs.com/features/764148/cheapest-electric-cars-best-list/</x:v>
      </x:c>
      <x:c r="M9" s="46" t="str">
        <x:v>https://www.caranddriver.com/rankings/best-electric-cars/cheapest</x:v>
      </x:c>
      <x:c r="N9" s="29" t="n">
        <x:f>Candidates!M10</x:f>
        <x:v>5</x:v>
      </x:c>
      <x:c r="O9" s="29" t="n">
        <x:f>Candidates!N10</x:f>
        <x:v>20</x:v>
      </x:c>
      <x:c r="P9" s="29" t="str">
        <x:v>EV Compare via Candidates row 10</x:v>
      </x:c>
    </x:row>
    <x:row r="10" ht="49" customHeight="1">
      <x:c r="A10" s="38" t="str">
        <x:v>Subaru</x:v>
      </x:c>
      <x:c r="B10" s="38" t="str">
        <x:v>Uncharted</x:v>
      </x:c>
      <x:c r="C10" s="38" t="n">
        <x:v>2026</x:v>
      </x:c>
      <x:c r="D10" s="47" t="n">
        <x:v>36920</x:v>
      </x:c>
      <x:c r="E10" s="38" t="n">
        <x:v>308</x:v>
      </x:c>
      <x:c r="F10" s="38" t="n">
        <x:v>2026</x:v>
      </x:c>
      <x:c r="G10" s="46" t="str">
        <x:v>Premium FWD</x:v>
      </x:c>
      <x:c r="H10" s="46" t="n">
        <x:v>308</x:v>
      </x:c>
      <x:c r="I10" s="107" t="n">
        <x:v>36445</x:v>
      </x:c>
      <x:c r="J10" s="46" t="str">
        <x:v>Price E28–E29 · battery E30 · range E31 · 0–60 E67 · DC E32 · stock E33 · group E134</x:v>
      </x:c>
      <x:c r="K10" s="46" t="str">
        <x:v>Included. 0–60 is MotorTrend’s estimate for this FWD trim. New San Jose listing.</x:v>
      </x:c>
      <x:c r="L10" s="46" t="str">
        <x:v>https://insideevs.com/features/764148/cheapest-electric-cars-best-list/</x:v>
      </x:c>
      <x:c r="M10" s="46" t="str">
        <x:v>https://www.caranddriver.com/rankings/best-electric-cars/cheapest</x:v>
      </x:c>
      <x:c r="N10" s="29" t="n">
        <x:f>Candidates!M12</x:f>
        <x:v>5</x:v>
      </x:c>
      <x:c r="O10" s="29" t="n">
        <x:f>Candidates!N12</x:f>
        <x:v>23</x:v>
      </x:c>
      <x:c r="P10" s="29" t="str">
        <x:v>EV Compare via Candidates row 12</x:v>
      </x:c>
    </x:row>
    <x:row r="11" ht="49" customHeight="1">
      <x:c r="A11" s="38" t="str">
        <x:v>Kia</x:v>
      </x:c>
      <x:c r="B11" s="38" t="str">
        <x:v>EV3</x:v>
      </x:c>
      <x:c r="C11" s="38" t="n">
        <x:v>2027</x:v>
      </x:c>
      <x:c r="D11" s="47" t="n">
        <x:v>31385</x:v>
      </x:c>
      <x:c r="E11" s="38" t="n">
        <x:v>321</x:v>
      </x:c>
      <x:c r="F11" s="38" t="n">
        <x:v>2027</x:v>
      </x:c>
      <x:c r="G11" s="46" t="str">
        <x:v>Wind FWD</x:v>
      </x:c>
      <x:c r="H11" s="46" t="n">
        <x:v>321</x:v>
      </x:c>
      <x:c r="I11" s="107" t="n">
        <x:v>36485</x:v>
      </x:c>
      <x:c r="J11" s="46" t="str">
        <x:v>E20–E23; E68</x:v>
      </x:c>
      <x:c r="K11" s="46" t="str">
        <x:v>Held out. Exact U.S. Wind FWD peak DC open (E68 is European).</x:v>
      </x:c>
      <x:c r="L11" s="46" t="str">
        <x:v>https://insideevs.com/features/764148/cheapest-electric-cars-best-list/</x:v>
      </x:c>
      <x:c r="M11" s="46" t="str">
        <x:v>https://www.caranddriver.com/rankings/best-electric-cars/cheapest</x:v>
      </x:c>
      <x:c r="N11" s="29"/>
      <x:c r="O11" s="29"/>
      <x:c r="P11" s="29"/>
    </x:row>
    <x:row r="12" ht="49" customHeight="1">
      <x:c r="A12" s="38" t="str">
        <x:v>Chevrolet</x:v>
      </x:c>
      <x:c r="B12" s="38" t="str">
        <x:v>Equinox EV</x:v>
      </x:c>
      <x:c r="C12" s="38" t="n">
        <x:v>2026</x:v>
      </x:c>
      <x:c r="D12" s="47" t="n">
        <x:v>36795</x:v>
      </x:c>
      <x:c r="E12" s="38" t="n">
        <x:v>319</x:v>
      </x:c>
      <x:c r="F12" s="38" t="n">
        <x:v>2026</x:v>
      </x:c>
      <x:c r="G12" s="46" t="str">
        <x:v>LT 1 FWD</x:v>
      </x:c>
      <x:c r="H12" s="46" t="n">
        <x:v>319</x:v>
      </x:c>
      <x:c r="I12" s="107" t="n">
        <x:v>36795</x:v>
      </x:c>
      <x:c r="J12" s="46" t="str">
        <x:v>Price E112 · battery E02 · range E03 · 0–60 E113 · DC E04 · stock E114</x:v>
      </x:c>
      <x:c r="K12" s="46" t="str">
        <x:v>Included. Dealer 0–60 figure with unspecified test method. New San Jose listing.</x:v>
      </x:c>
      <x:c r="L12" s="46" t="str">
        <x:v>https://insideevs.com/features/764148/cheapest-electric-cars-best-list/</x:v>
      </x:c>
      <x:c r="M12" s="46" t="str">
        <x:v>https://www.caranddriver.com/rankings/best-electric-cars/cheapest</x:v>
      </x:c>
      <x:c r="N12" s="29" t="n">
        <x:f>Candidates!M11</x:f>
        <x:v>5</x:v>
      </x:c>
      <x:c r="O12" s="29" t="n">
        <x:f>Candidates!N11</x:f>
        <x:v>26.4</x:v>
      </x:c>
      <x:c r="P12" s="29" t="str">
        <x:v>EV Compare via Candidates row 11</x:v>
      </x:c>
    </x:row>
    <x:row r="13" ht="49" customHeight="1">
      <x:c r="A13" s="38" t="str">
        <x:v>Fiat</x:v>
      </x:c>
      <x:c r="B13" s="38" t="str">
        <x:v>500e</x:v>
      </x:c>
      <x:c r="C13" s="38" t="n">
        <x:v>2026</x:v>
      </x:c>
      <x:c r="D13" s="47" t="n">
        <x:v>37695</x:v>
      </x:c>
      <x:c r="E13" s="38" t="n">
        <x:v>149</x:v>
      </x:c>
      <x:c r="F13" s="38" t="n">
        <x:v>2026</x:v>
      </x:c>
      <x:c r="G13" s="46" t="str">
        <x:v>Pop FWD</x:v>
      </x:c>
      <x:c r="H13" s="46" t="n">
        <x:v>149</x:v>
      </x:c>
      <x:c r="I13" s="107" t="n">
        <x:v>37695</x:v>
      </x:c>
      <x:c r="J13" s="46" t="str">
        <x:v>InsideEVs → 2026 Fiat 500e base price and range. Berglund → new Pop listing and range.</x:v>
      </x:c>
      <x:c r="K13" s="46" t="str">
        <x:v>Held out. The 500e model has four seats and about 7.5 ft³ rear cargo (Candidates row 29, prior year).</x:v>
      </x:c>
      <x:c r="L13" s="46" t="str">
        <x:v>https://insideevs.com/features/764148/cheapest-electric-cars-best-list/</x:v>
      </x:c>
      <x:c r="M13" s="46" t="str">
        <x:v>https://www.berglundchryslerjeep.net/new-inventory/FIAT/2026-FIAT-500e-f5eb6d27ac18131a5dcf4e6a80395426.htm</x:v>
      </x:c>
      <x:c r="N13" s="29"/>
      <x:c r="O13" s="29"/>
      <x:c r="P13" s="29"/>
    </x:row>
    <x:row r="14" ht="49" customHeight="1">
      <x:c r="A14" s="38" t="str">
        <x:v>Toyota</x:v>
      </x:c>
      <x:c r="B14" s="38" t="str">
        <x:v>C-HR</x:v>
      </x:c>
      <x:c r="C14" s="38" t="n">
        <x:v>2026</x:v>
      </x:c>
      <x:c r="D14" s="47" t="n">
        <x:v>38595</x:v>
      </x:c>
      <x:c r="E14" s="38" t="n">
        <x:v>287</x:v>
      </x:c>
      <x:c r="F14" s="38" t="n">
        <x:v>2026</x:v>
      </x:c>
      <x:c r="G14" s="46" t="str">
        <x:v>SE AWD</x:v>
      </x:c>
      <x:c r="H14" s="46" t="n">
        <x:v>287</x:v>
      </x:c>
      <x:c r="I14" s="107" t="n">
        <x:v>38595</x:v>
      </x:c>
      <x:c r="J14" s="46" t="str">
        <x:v>Price E69–70 · battery E71 · range E72 · 0–60 E73 · DC E74 · stock E75 · size E76</x:v>
      </x:c>
      <x:c r="K14" s="46" t="str">
        <x:v>Included. Required specs sourced. Toyota 0–60 estimate. New San Jose listing.</x:v>
      </x:c>
      <x:c r="L14" s="46" t="str">
        <x:v>https://insideevs.com/features/764148/cheapest-electric-cars-best-list/</x:v>
      </x:c>
      <x:c r="M14" s="46" t="str">
        <x:v>https://www.toyota.com/c-hr/2026/features/mpg_other_price/2416/2419/</x:v>
      </x:c>
      <x:c r="N14" s="29"/>
      <x:c r="O14" s="29"/>
      <x:c r="P14" s="29"/>
    </x:row>
    <x:row r="15" ht="49" customHeight="1">
      <x:c r="A15" s="38" t="str">
        <x:v>Hyundai</x:v>
      </x:c>
      <x:c r="B15" s="38" t="str">
        <x:v>IONIQ 5</x:v>
      </x:c>
      <x:c r="C15" s="38" t="n">
        <x:v>2026</x:v>
      </x:c>
      <x:c r="D15" s="47" t="n">
        <x:v>36600</x:v>
      </x:c>
      <x:c r="E15" s="38" t="n">
        <x:v>318</x:v>
      </x:c>
      <x:c r="F15" s="38" t="n">
        <x:v>2027</x:v>
      </x:c>
      <x:c r="G15" s="46" t="str">
        <x:v>SE Long Range RWD</x:v>
      </x:c>
      <x:c r="H15" s="46" t="n">
        <x:v>318</x:v>
      </x:c>
      <x:c r="I15" s="107" t="n">
        <x:v>39400</x:v>
      </x:c>
      <x:c r="J15" s="46" t="str">
        <x:v>Price E34–E35 · battery E36 · range E37 · 0–60 E115/E116 · DC E38 · stock E39 · group E135</x:v>
      </x:c>
      <x:c r="K15" s="46" t="str">
        <x:v>Included. Published 0–60 with unspecified test method. C/D corroborates for the earlier 225-hp RWD powertrain.</x:v>
      </x:c>
      <x:c r="L15" s="46" t="str">
        <x:v>https://insideevs.com/features/764148/cheapest-electric-cars-best-list/</x:v>
      </x:c>
      <x:c r="M15" s="46" t="str">
        <x:v>https://www.caranddriver.com/rankings/best-electric-cars/cheapest</x:v>
      </x:c>
      <x:c r="N15" s="29"/>
      <x:c r="O15" s="29"/>
      <x:c r="P15" s="29"/>
    </x:row>
    <x:row r="16" ht="49" customHeight="1">
      <x:c r="A16" s="38" t="str">
        <x:v>Toyota</x:v>
      </x:c>
      <x:c r="B16" s="38" t="str">
        <x:v>bZ</x:v>
      </x:c>
      <x:c r="C16" s="38" t="n">
        <x:v>2026</x:v>
      </x:c>
      <x:c r="D16" s="47" t="n">
        <x:v>36495</x:v>
      </x:c>
      <x:c r="E16" s="38" t="n">
        <x:v>314</x:v>
      </x:c>
      <x:c r="F16" s="38" t="n">
        <x:v>2027</x:v>
      </x:c>
      <x:c r="G16" s="46" t="str">
        <x:v>XLE FWD Plus</x:v>
      </x:c>
      <x:c r="H16" s="46" t="n">
        <x:v>314</x:v>
      </x:c>
      <x:c r="I16" s="107" t="n">
        <x:v>39575</x:v>
      </x:c>
      <x:c r="J16" s="46" t="str">
        <x:v>Price E55 · battery E41 · range E42 · 0–60 E56 · DC E57 · carryover E58 · stock E43</x:v>
      </x:c>
      <x:c r="K16" s="46" t="str">
        <x:v>Included. Required specs sourced. 2026 matching-trim test used for unchanged 2027 model.</x:v>
      </x:c>
      <x:c r="L16" s="46" t="str">
        <x:v>https://insideevs.com/features/764148/cheapest-electric-cars-best-list/</x:v>
      </x:c>
      <x:c r="M16" s="46" t="str">
        <x:v>https://www.caranddriver.com/toyota/bz</x:v>
      </x:c>
      <x:c r="N16" s="29"/>
      <x:c r="O16" s="29"/>
      <x:c r="P16" s="29"/>
    </x:row>
    <x:row r="17" ht="49" customHeight="1">
      <x:c r="A17" s="38" t="str">
        <x:v>Subaru</x:v>
      </x:c>
      <x:c r="B17" s="38" t="str">
        <x:v>Solterra</x:v>
      </x:c>
      <x:c r="C17" s="38" t="n">
        <x:v>2026</x:v>
      </x:c>
      <x:c r="D17" s="47" t="n">
        <x:v>40420</x:v>
      </x:c>
      <x:c r="E17" s="38" t="n">
        <x:v>288</x:v>
      </x:c>
      <x:c r="F17" s="38" t="n">
        <x:v>2026</x:v>
      </x:c>
      <x:c r="G17" s="46" t="str">
        <x:v>Premium AWD</x:v>
      </x:c>
      <x:c r="H17" s="46" t="n">
        <x:v>288</x:v>
      </x:c>
      <x:c r="I17" s="107" t="n">
        <x:v>39945</x:v>
      </x:c>
      <x:c r="J17" s="46" t="str">
        <x:v>Price E121 · battery E122 · range E123 · 0–60 E124 · DC E125 · stock E126 · group E134</x:v>
      </x:c>
      <x:c r="K17" s="46" t="str">
        <x:v>Included. 0–60 is Car and Driver’s estimate for the base powertrain. New Bay Area listing.</x:v>
      </x:c>
      <x:c r="L17" s="46" t="str">
        <x:v>https://insideevs.com/features/764148/cheapest-electric-cars-best-list/</x:v>
      </x:c>
      <x:c r="M17" s="46" t="str">
        <x:v>https://www.caranddriver.com/features/g32463239/new-ev-models-us/</x:v>
      </x:c>
      <x:c r="N17" s="29"/>
      <x:c r="O17" s="29"/>
      <x:c r="P17" s="29"/>
    </x:row>
    <x:row r="18" ht="49" customHeight="1">
      <x:c r="A18" s="38" t="str">
        <x:v>Volvo</x:v>
      </x:c>
      <x:c r="B18" s="38" t="str">
        <x:v>EX30</x:v>
      </x:c>
      <x:c r="C18" s="38" t="n">
        <x:v>2026</x:v>
      </x:c>
      <x:c r="D18" s="47"/>
      <x:c r="E18" s="38"/>
      <x:c r="F18" s="38" t="n">
        <x:v>2026</x:v>
      </x:c>
      <x:c r="G18" s="46" t="str">
        <x:v>Plus Single Motor RWD</x:v>
      </x:c>
      <x:c r="H18" s="46" t="n">
        <x:v>261</x:v>
      </x:c>
      <x:c r="I18" s="107" t="n">
        <x:v>40345</x:v>
      </x:c>
      <x:c r="J18" s="46" t="str">
        <x:v>List price E44 · Battery E45 · EPA range E46 · 0–60 mph E47 · Peak DC E48 · New listing E49 · Size screen E50</x:v>
      </x:c>
      <x:c r="K18" s="46" t="str">
        <x:v>Included. Required specs sourced. New U.S. listing found. MSRP includes destination.</x:v>
      </x:c>
      <x:c r="L18" s="46" t="str">
        <x:v>https://www.caranddriver.com/features/g32463239/new-ev-models-us/</x:v>
      </x:c>
      <x:c r="M18" s="46" t="str">
        <x:v>https://www.caranddriver.com/volvo/ex30</x:v>
      </x:c>
      <x:c r="N18" s="29"/>
      <x:c r="O18" s="29"/>
      <x:c r="P18" s="29"/>
    </x:row>
    <x:row r="19" ht="49" customHeight="1">
      <x:c r="A19" s="38" t="str">
        <x:v>Kia</x:v>
      </x:c>
      <x:c r="B19" s="38" t="str">
        <x:v>Niro EV</x:v>
      </x:c>
      <x:c r="C19" s="38" t="n">
        <x:v>2026</x:v>
      </x:c>
      <x:c r="D19" s="47" t="n">
        <x:v>41195</x:v>
      </x:c>
      <x:c r="E19" s="38" t="n">
        <x:v>253</x:v>
      </x:c>
      <x:c r="F19" s="38" t="n">
        <x:v>2026</x:v>
      </x:c>
      <x:c r="G19" s="46" t="str">
        <x:v>Wind FWD</x:v>
      </x:c>
      <x:c r="H19" s="46" t="n">
        <x:v>253</x:v>
      </x:c>
      <x:c r="I19" s="107" t="n">
        <x:v>41195</x:v>
      </x:c>
      <x:c r="J19" s="46" t="str">
        <x:v>InsideEVs → 2026 Kia Niro EV base price and range. Kia Media → Wind / Wave specifications.</x:v>
      </x:c>
      <x:c r="K19" s="46" t="str">
        <x:v>Held out. Exact U.S. 0–60 still open.</x:v>
      </x:c>
      <x:c r="L19" s="46" t="str">
        <x:v>https://insideevs.com/features/764148/cheapest-electric-cars-best-list/</x:v>
      </x:c>
      <x:c r="M19" s="46" t="str">
        <x:v>https://www.kiamedia.com/us/en/models/niro-ev/2026/specifications</x:v>
      </x:c>
      <x:c r="N19" s="29"/>
      <x:c r="O19" s="29"/>
      <x:c r="P19" s="29"/>
    </x:row>
    <x:row r="20" ht="49" customHeight="1">
      <x:c r="A20" s="38" t="str">
        <x:v>Subaru</x:v>
      </x:c>
      <x:c r="B20" s="38" t="str">
        <x:v>Trailseeker</x:v>
      </x:c>
      <x:c r="C20" s="38" t="n">
        <x:v>2026</x:v>
      </x:c>
      <x:c r="D20" s="47" t="n">
        <x:v>41445</x:v>
      </x:c>
      <x:c r="E20" s="38" t="n">
        <x:v>281</x:v>
      </x:c>
      <x:c r="F20" s="38" t="n">
        <x:v>2026</x:v>
      </x:c>
      <x:c r="G20" s="46" t="str">
        <x:v>Premium AWD</x:v>
      </x:c>
      <x:c r="H20" s="46" t="n">
        <x:v>281</x:v>
      </x:c>
      <x:c r="I20" s="107" t="n">
        <x:v>41445</x:v>
      </x:c>
      <x:c r="J20" s="46" t="str">
        <x:v>InsideEVs → 2026 Trailseeker base price. Subaru → Battery/Charging → Premium Range.</x:v>
      </x:c>
      <x:c r="K20" s="46" t="str">
        <x:v>Held out. Larger crossover. Solterra was the lower-priced Subaru alternative.</x:v>
      </x:c>
      <x:c r="L20" s="46" t="str">
        <x:v>https://insideevs.com/features/764148/cheapest-electric-cars-best-list/</x:v>
      </x:c>
      <x:c r="M20" s="46" t="str">
        <x:v>https://www.subaru.com/services/vehicles/pdf/trimComparison/2026/TSK?hideBuildMsrp=false</x:v>
      </x:c>
      <x:c r="N20" s="29"/>
      <x:c r="O20" s="29"/>
      <x:c r="P20" s="29"/>
    </x:row>
    <x:row r="21" ht="49" customHeight="1">
      <x:c r="A21" s="38" t="str">
        <x:v>Honda</x:v>
      </x:c>
      <x:c r="B21" s="38" t="str">
        <x:v>Prologue</x:v>
      </x:c>
      <x:c r="C21" s="38" t="n">
        <x:v>2027</x:v>
      </x:c>
      <x:c r="D21" s="47"/>
      <x:c r="E21" s="38"/>
      <x:c r="F21" s="38" t="n">
        <x:v>2026</x:v>
      </x:c>
      <x:c r="G21" s="46" t="str">
        <x:v>EX 2WD</x:v>
      </x:c>
      <x:c r="H21" s="46" t="n">
        <x:v>308</x:v>
      </x:c>
      <x:c r="I21" s="107" t="n">
        <x:v>41495</x:v>
      </x:c>
      <x:c r="J21" s="46" t="str">
        <x:v>E77–E81</x:v>
      </x:c>
      <x:c r="K21" s="46" t="str">
        <x:v>Held out. Exact EX FWD acceleration and peak DC open.</x:v>
      </x:c>
      <x:c r="L21" s="46" t="str">
        <x:v>https://www.caranddriver.com/features/g32463239/new-ev-models-us/</x:v>
      </x:c>
      <x:c r="M21" s="46" t="str">
        <x:v>https://hondanews.com/en-US/releases/release-bb136e6e7af7ccb6b0336e10d811aafd-2026-honda-prologue-pricing-and-epa-ratings-september</x:v>
      </x:c>
      <x:c r="N21" s="29"/>
      <x:c r="O21" s="29"/>
      <x:c r="P21" s="29"/>
    </x:row>
    <x:row r="22" ht="49" customHeight="1">
      <x:c r="A22" s="38" t="str">
        <x:v>Kia</x:v>
      </x:c>
      <x:c r="B22" s="38" t="str">
        <x:v>EV6</x:v>
      </x:c>
      <x:c r="C22" s="38" t="n">
        <x:v>2026</x:v>
      </x:c>
      <x:c r="D22" s="47" t="n">
        <x:v>39445</x:v>
      </x:c>
      <x:c r="E22" s="38" t="n">
        <x:v>319</x:v>
      </x:c>
      <x:c r="F22" s="38" t="n">
        <x:v>2026</x:v>
      </x:c>
      <x:c r="G22" s="46" t="str">
        <x:v>Light Long Range RWD</x:v>
      </x:c>
      <x:c r="H22" s="46" t="n">
        <x:v>319</x:v>
      </x:c>
      <x:c r="I22" s="107" t="n">
        <x:v>42745</x:v>
      </x:c>
      <x:c r="J22" s="46" t="str">
        <x:v>Price E96–97 · battery E98 · range E99 · 0–60 E100 · DC E101 · stock E102</x:v>
      </x:c>
      <x:c r="K22" s="46" t="str">
        <x:v>Included. Required specs sourced. New U.S. inventory listing found.</x:v>
      </x:c>
      <x:c r="L22" s="46" t="str">
        <x:v>https://insideevs.com/features/764148/cheapest-electric-cars-best-list/</x:v>
      </x:c>
      <x:c r="M22" s="46" t="str">
        <x:v>https://www.kiamedia.com/us/en/media/pressreleases/24658/kia-announces-pricing-for-2026-ev6</x:v>
      </x:c>
      <x:c r="N22" s="29"/>
      <x:c r="O22" s="29"/>
      <x:c r="P22" s="29"/>
    </x:row>
    <x:row r="23" ht="49" customHeight="1">
      <x:c r="A23" s="38" t="str">
        <x:v>Hyundai</x:v>
      </x:c>
      <x:c r="B23" s="38" t="str">
        <x:v>IONIQ 6</x:v>
      </x:c>
      <x:c r="C23" s="38" t="n">
        <x:v>2025</x:v>
      </x:c>
      <x:c r="D23" s="47" t="n">
        <x:v>39595</x:v>
      </x:c>
      <x:c r="E23" s="38" t="n">
        <x:v>342</x:v>
      </x:c>
      <x:c r="F23" s="38" t="n">
        <x:v>2025</x:v>
      </x:c>
      <x:c r="G23" s="46" t="str">
        <x:v>SE Long Range RWD</x:v>
      </x:c>
      <x:c r="H23" s="46" t="n">
        <x:v>342</x:v>
      </x:c>
      <x:c r="I23" s="107" t="n">
        <x:v>43850</x:v>
      </x:c>
      <x:c r="J23" s="46" t="str">
        <x:v>Cars.com → 18-inch SE range and Availability and Pricing (includes $1,150 freight).</x:v>
      </x:c>
      <x:c r="K23" s="46" t="str">
        <x:v>Held out. New stock for the 342-mile SE unconfirmed.</x:v>
      </x:c>
      <x:c r="L23" s="46" t="str">
        <x:v>https://insideevs.com/features/764148/cheapest-electric-cars-best-list/</x:v>
      </x:c>
      <x:c r="M23" s="46" t="str">
        <x:v>https://www.cars.com/articles/settling-in-2025-hyundai-ioniq-6-priced-from-38900-489885/</x:v>
      </x:c>
      <x:c r="N23" s="29"/>
      <x:c r="O23" s="29"/>
      <x:c r="P23" s="29"/>
    </x:row>
    <x:row r="24" ht="49" customHeight="1">
      <x:c r="A24" s="38" t="str">
        <x:v>Tesla</x:v>
      </x:c>
      <x:c r="B24" s="38" t="str">
        <x:v>Model 3</x:v>
      </x:c>
      <x:c r="C24" s="38" t="n">
        <x:v>2026</x:v>
      </x:c>
      <x:c r="D24" s="47" t="n">
        <x:v>38630</x:v>
      </x:c>
      <x:c r="E24" s="38" t="n">
        <x:v>363</x:v>
      </x:c>
      <x:c r="F24" s="38" t="n">
        <x:v>2026</x:v>
      </x:c>
      <x:c r="G24" s="46" t="str">
        <x:v>Premium RWD</x:v>
      </x:c>
      <x:c r="H24" s="46" t="n">
        <x:v>363</x:v>
      </x:c>
      <x:c r="I24" s="107" t="n">
        <x:v>43880</x:v>
      </x:c>
      <x:c r="J24" s="46" t="str">
        <x:v>Price E109 · battery E117/E110 · range E51 · 0–60 E118 · DC E53 · 100 mi E119 · order/stock E54/E120</x:v>
      </x:c>
      <x:c r="K24" s="46" t="str">
        <x:v>Included. Battery and calculated efficiency approximate. New U.S. stock from a third-party listing and Tesla shows the orderable trim.</x:v>
      </x:c>
      <x:c r="L24" s="46" t="str">
        <x:v>https://insideevs.com/features/764148/cheapest-electric-cars-best-list/</x:v>
      </x:c>
      <x:c r="M24" s="46" t="str">
        <x:v>https://www.caranddriver.com/tesla/model-3?itid=lk_inline_enhanced-template</x:v>
      </x:c>
      <x:c r="N24" s="29"/>
      <x:c r="O24" s="29"/>
      <x:c r="P24" s="29"/>
    </x:row>
    <x:row r="25" ht="49" customHeight="1">
      <x:c r="A25" s="38" t="str">
        <x:v>MINI</x:v>
      </x:c>
      <x:c r="B25" s="38" t="str">
        <x:v>Countryman Electric</x:v>
      </x:c>
      <x:c r="C25" s="38" t="n">
        <x:v>2027</x:v>
      </x:c>
      <x:c r="D25" s="47" t="n">
        <x:v>46550</x:v>
      </x:c>
      <x:c r="E25" s="38"/>
      <x:c r="F25" s="38" t="n">
        <x:v>2027</x:v>
      </x:c>
      <x:c r="G25" s="46" t="str">
        <x:v>SE ALL4 Signature Plus</x:v>
      </x:c>
      <x:c r="H25" s="46" t="n">
        <x:v>216</x:v>
      </x:c>
      <x:c r="I25" s="107" t="n">
        <x:v>46550</x:v>
      </x:c>
      <x:c r="J25" s="46" t="str">
        <x:v>Price E59–60 · battery E61 · range E62 · 0–60 E63 · DC E64 · stock E65</x:v>
      </x:c>
      <x:c r="K25" s="46" t="str">
        <x:v>Included. Required figures sourced. Check wheel-specific range on the chosen VIN.</x:v>
      </x:c>
      <x:c r="L25" s="46" t="str">
        <x:v>https://www.caranddriver.com/mini/countryman-electric</x:v>
      </x:c>
      <x:c r="M25" s="46" t="str">
        <x:v>https://www.miniusa.com/model/electric-vehicles/countryman.html</x:v>
      </x:c>
      <x:c r="N25" s="29"/>
      <x:c r="O25" s="29"/>
      <x:c r="P25" s="29"/>
    </x:row>
    <x:row r="26" ht="49" customHeight="1">
      <x:c r="A26" s="38" t="str">
        <x:v>Volkswagen</x:v>
      </x:c>
      <x:c r="B26" s="38" t="str">
        <x:v>ID.4</x:v>
      </x:c>
      <x:c r="C26" s="38" t="n">
        <x:v>2026</x:v>
      </x:c>
      <x:c r="D26" s="47"/>
      <x:c r="E26" s="38"/>
      <x:c r="F26" s="38" t="n">
        <x:v>2026</x:v>
      </x:c>
      <x:c r="G26" s="46" t="str">
        <x:v>Pro RWD</x:v>
      </x:c>
      <x:c r="H26" s="46" t="n">
        <x:v>291</x:v>
      </x:c>
      <x:c r="I26" s="107" t="n">
        <x:v>46570</x:v>
      </x:c>
      <x:c r="J26" s="46" t="str">
        <x:v>Price E82 · battery E83 · range E84 · 0–60 E85 · DC E86 · stock E87</x:v>
      </x:c>
      <x:c r="K26" s="46" t="str">
        <x:v>Included. Required figures sourced. KBB 0–60 figure has unspecified test provenance.</x:v>
      </x:c>
      <x:c r="L26" s="46" t="str">
        <x:v>https://www.vw.com/en/models/id-4.html?ssem=ssem_43700057308203707</x:v>
      </x:c>
      <x:c r="M26" s="46" t="str">
        <x:v>https://www.volkswagenofmarietta.com/inventory/new-2026-volkswagen-id-4-pro-rwd-4d-sport-utility-1v2crpe87tc003411/</x:v>
      </x:c>
      <x:c r="N26" s="29"/>
      <x:c r="O26" s="29"/>
      <x:c r="P26" s="29"/>
    </x:row>
    <x:row r="27" ht="49" customHeight="1">
      <x:c r="A27" s="38" t="str">
        <x:v>Tesla</x:v>
      </x:c>
      <x:c r="B27" s="38" t="str">
        <x:v>Model Y</x:v>
      </x:c>
      <x:c r="C27" s="38" t="n">
        <x:v>2026</x:v>
      </x:c>
      <x:c r="D27" s="47" t="n">
        <x:v>41630</x:v>
      </x:c>
      <x:c r="E27" s="38" t="n">
        <x:v>357</x:v>
      </x:c>
      <x:c r="F27" s="38" t="n">
        <x:v>2026</x:v>
      </x:c>
      <x:c r="G27" s="46" t="str">
        <x:v>Premium RWD</x:v>
      </x:c>
      <x:c r="H27" s="46" t="n">
        <x:v>357</x:v>
      </x:c>
      <x:c r="I27" s="107" t="n">
        <x:v>46630</x:v>
      </x:c>
      <x:c r="J27" s="46" t="str">
        <x:v>Car and Driver → Which Tesla Model Y → Premium RWD pricing and EPA range.</x:v>
      </x:c>
      <x:c r="K27" s="46" t="str">
        <x:v>Held out. Exact longest-range configuration and battery open.</x:v>
      </x:c>
      <x:c r="L27" s="46" t="str">
        <x:v>https://insideevs.com/features/764148/cheapest-electric-cars-best-list/</x:v>
      </x:c>
      <x:c r="M27" s="46" t="str">
        <x:v>https://www.caranddriver.com/shopping-advice/a71220900/tesla-model-y-trim-level-what-to-buy/</x:v>
      </x:c>
      <x:c r="N27" s="29"/>
      <x:c r="O27" s="29"/>
      <x:c r="P27" s="29"/>
    </x:row>
    <x:row r="28" ht="49" customHeight="1">
      <x:c r="A28" s="38" t="str">
        <x:v>Ford</x:v>
      </x:c>
      <x:c r="B28" s="38" t="str">
        <x:v>Mustang Mach-E</x:v>
      </x:c>
      <x:c r="C28" s="38" t="n">
        <x:v>2026</x:v>
      </x:c>
      <x:c r="D28" s="47" t="n">
        <x:v>41030</x:v>
      </x:c>
      <x:c r="E28" s="38" t="n">
        <x:v>300</x:v>
      </x:c>
      <x:c r="F28" s="38" t="n">
        <x:v>2026</x:v>
      </x:c>
      <x:c r="G28" s="46" t="str">
        <x:v>Premium RWD Extended Range</x:v>
      </x:c>
      <x:c r="H28" s="46" t="n">
        <x:v>320</x:v>
      </x:c>
      <x:c r="I28" s="107" t="n">
        <x:v>47390</x:v>
      </x:c>
      <x:c r="J28" s="46" t="str">
        <x:v>Price E88–90 · battery E91 · range E92 · 0–60 E93 · DC E94 · stock E95</x:v>
      </x:c>
      <x:c r="K28" s="46" t="str">
        <x:v>Included. Required figures sourced. Price includes extended battery and freight. New California listing.</x:v>
      </x:c>
      <x:c r="L28" s="46" t="str">
        <x:v>https://insideevs.com/features/764148/cheapest-electric-cars-best-list/</x:v>
      </x:c>
      <x:c r="M28" s="46" t="str">
        <x:v>https://www.ford.com/suvs/mach-e/models/select/</x:v>
      </x:c>
      <x:c r="N28" s="29"/>
      <x:c r="O28" s="29"/>
      <x:c r="P28" s="29"/>
    </x:row>
    <x:row r="29" ht="49" customHeight="1">
      <x:c r="A29" t="str">
        <x:v>Lexus</x:v>
      </x:c>
      <x:c r="B29" t="str">
        <x:v>RZ</x:v>
      </x:c>
      <x:c r="C29" t="n">
        <x:v>2026</x:v>
      </x:c>
      <x:c r="D29" s="63"/>
      <x:c r="E29"/>
      <x:c r="F29" t="n">
        <x:v>2026</x:v>
      </x:c>
      <x:c r="G29" s="29" t="str">
        <x:v>350e FWD (18 in)</x:v>
      </x:c>
      <x:c r="H29" s="29" t="n">
        <x:v>301</x:v>
      </x:c>
      <x:c r="I29" s="108" t="n">
        <x:v>47395</x:v>
      </x:c>
      <x:c r="J29" s="29" t="str">
        <x:v>Price E103 · battery E104 · range E105 · 0–60 E106 · DC E107 · stock E108</x:v>
      </x:c>
      <x:c r="K29" s="29" t="str">
        <x:v>Included. Required specs sourced. EPA rating for 18-inch wheels. New U.S. listing found.</x:v>
      </x:c>
      <x:c r="L29" s="29" t="str">
        <x:v>https://pressroom.lexus.com/2026-lexus-rz-adds-more-power-and-performance-2/</x:v>
      </x:c>
      <x:c r="M29" s="29" t="str">
        <x:v>https://www.lexusofpleasanton.com/showroom/2026/Lexus/RZ%2B350e/SUV.htm</x:v>
      </x:c>
      <x:c r="N29" s="29" t="n">
        <x:f>Candidates!M18</x:f>
        <x:v>5</x:v>
      </x:c>
      <x:c r="O29" s="29" t="n">
        <x:f>Candidates!N18</x:f>
        <x:v>34.1</x:v>
      </x:c>
      <x:c r="P29" s="29" t="str">
        <x:v>EV Compare via Candidates row 18</x:v>
      </x:c>
    </x:row>
    <x:row r="30" ht="49" customHeight="1">
      <x:c r="A30" s="59" t="str">
        <x:v>Mercedes-Benz</x:v>
      </x:c>
      <x:c r="B30" t="str">
        <x:v>Electric CLA</x:v>
      </x:c>
      <x:c r="C30"/>
      <x:c r="D30" s="63"/>
      <x:c r="E30"/>
      <x:c r="F30" t="n">
        <x:v>2027</x:v>
      </x:c>
      <x:c r="G30" s="29" t="str">
        <x:v>250+ RWD</x:v>
      </x:c>
      <x:c r="H30" s="29" t="n">
        <x:v>374</x:v>
      </x:c>
      <x:c r="I30" s="108" t="n">
        <x:v>49400</x:v>
      </x:c>
      <x:c r="J30" s="29" t="str">
        <x:v>Price E127–E128 · battery E129 · range E130 · 0–60 E131 · DC E132 · stock E133 · size E136</x:v>
      </x:c>
      <x:c r="K30" s="29" t="str">
        <x:v>Included. Mercedes-Benz estimates 0–60. Compact sedan with San Jose listing.</x:v>
      </x:c>
      <x:c r="L30" s="29" t="str">
        <x:v>https://media.mbusa.com/news/2027-mercedes-benz-cla-electric-quick-reference-guide</x:v>
      </x:c>
      <x:c r="M30" s="29" t="str">
        <x:v>New 2027 CLA 250+ Electric → VIN ending 070232</x:v>
      </x:c>
      <x:c r="N30" s="29"/>
      <x:c r="O30" s="29"/>
      <x:c r="P30" s="29"/>
    </x:row>
    <x:row r="31">
      <x:c r="A31"/>
    </x:row>
    <x:row r="32">
      <x:c r="A32" s="59" t="str">
        <x:v>Ford 2027 order lead</x:v>
      </x:c>
    </x:row>
    <x:row r="33">
      <x:c r="A33" t="str">
        <x:v>Car and Driver reports $42,040 for Select RWD. Keep this separate until the 2027 EPA range by trim is confirmed.</x:v>
      </x:c>
    </x:row>
    <x:row r="34">
      <x:c r="A34" t="str">
        <x:v>https://www.caranddriver.com/news/a74205300/2027-ford-mustang-mach-e-pricing-new-details/</x:v>
      </x:c>
    </x:row>
    <x:row r="35" ht="30" customHeight="1">
      <x:c r="A35" s="29" t="str">
        <x:v>Older stock remains eligible when sold new. 2025 Kona Electric Limited (261 mi): new stock unverified in listings checked (E142). 2025 IONIQ 6 SE is tracked above.</x:v>
      </x:c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</x:row>
  </x:sheetData>
  <x:mergeCells>
    <x:mergeCell ref="A35:M3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9" hidden="0" customWidth="1"/>
    <x:col min="2" max="2" width="14.130000114440918" hidden="0" customWidth="1"/>
    <x:col min="3" max="3" width="26.8799991607666" hidden="0" customWidth="1"/>
    <x:col min="4" max="4" width="11.5" hidden="0" customWidth="1"/>
    <x:col min="5" max="5" width="13.25" hidden="0" customWidth="1"/>
    <x:col min="6" max="6" width="35.75" hidden="0" customWidth="1"/>
    <x:col min="7" max="7" width="41.25" hidden="0" customWidth="1"/>
    <x:col min="8" max="8" width="43.75" hidden="0" customWidth="1"/>
  </x:cols>
  <x:sheetData>
    <x:row r="2">
      <x:c r="A2" s="40" t="str">
        <x:v>Parts 2 and 3   Preliminary research</x:v>
      </x:c>
      <x:c r="B2" s="38"/>
      <x:c r="C2" s="38"/>
      <x:c r="D2" s="38"/>
      <x:c r="E2" s="38"/>
      <x:c r="F2" s="38"/>
      <x:c r="G2" s="38"/>
      <x:c r="H2" s="38"/>
    </x:row>
    <x:row r="3">
      <x:c r="A3" s="38" t="str">
        <x:v>Preliminary research from Nov 5, 2026. Use the final Part 2 and Part 3 sheets and Evidence for current modeled figures.</x:v>
      </x:c>
      <x:c r="B3" s="38"/>
      <x:c r="C3" s="38"/>
      <x:c r="D3" s="38"/>
      <x:c r="E3" s="38"/>
      <x:c r="F3" s="38"/>
      <x:c r="G3" s="38"/>
      <x:c r="H3" s="38"/>
    </x:row>
    <x:row r="4">
      <x:c r="A4" s="38"/>
      <x:c r="B4" s="38"/>
      <x:c r="C4" s="38"/>
      <x:c r="D4" s="38"/>
      <x:c r="E4" s="38"/>
      <x:c r="F4" s="38"/>
      <x:c r="G4" s="38"/>
      <x:c r="H4" s="38"/>
    </x:row>
    <x:row r="5">
      <x:c r="A5" s="38"/>
      <x:c r="B5" s="38"/>
      <x:c r="C5" s="38"/>
      <x:c r="D5" s="38"/>
      <x:c r="E5" s="38"/>
      <x:c r="F5" s="38"/>
      <x:c r="G5" s="38"/>
      <x:c r="H5" s="38"/>
    </x:row>
    <x:row r="6" ht="29" customHeight="1">
      <x:c r="A6" s="54" t="str">
        <x:v>Lead ID</x:v>
      </x:c>
      <x:c r="B6" s="54" t="str">
        <x:v>Area</x:v>
      </x:c>
      <x:c r="C6" s="54" t="str">
        <x:v>Input or program</x:v>
      </x:c>
      <x:c r="D6" s="54" t="str">
        <x:v>Figure</x:v>
      </x:c>
      <x:c r="E6" s="54" t="str">
        <x:v>Unit</x:v>
      </x:c>
      <x:c r="F6" s="54" t="str">
        <x:v>Publisher and locator</x:v>
      </x:c>
      <x:c r="G6" s="54" t="str">
        <x:v>Source URL</x:v>
      </x:c>
      <x:c r="H6" s="54" t="str">
        <x:v>What to verify</x:v>
      </x:c>
    </x:row>
    <x:row r="7" ht="61" customHeight="1">
      <x:c r="A7" s="38" t="str">
        <x:v>R01</x:v>
      </x:c>
      <x:c r="B7" s="38" t="str">
        <x:v>Incentive</x:v>
      </x:c>
      <x:c r="C7" s="46" t="str">
        <x:v>SJCE EV Instant Rebate</x:v>
      </x:c>
      <x:c r="D7" s="48" t="n">
        <x:v>3000</x:v>
      </x:c>
      <x:c r="E7" s="46" t="str">
        <x:v>USD / new EV</x:v>
      </x:c>
      <x:c r="F7" s="46" t="str">
        <x:v>SJCE · Rebate Amounts and Sept. 15 update</x:v>
      </x:c>
      <x:c r="G7" s="46" t="str">
        <x:v>https://sanjosecleanenergy.org/ev-rebates/</x:v>
      </x:c>
      <x:c r="H7" s="46" t="str">
        <x:v>Current program page supersedes older $4,000 materials. Check service account, income, dealer, price cap and remaining funds.</x:v>
      </x:c>
    </x:row>
    <x:row r="8" ht="61" customHeight="1">
      <x:c r="A8" s="38" t="str">
        <x:v>R02</x:v>
      </x:c>
      <x:c r="B8" s="38" t="str">
        <x:v>Incentive</x:v>
      </x:c>
      <x:c r="C8" s="46" t="str">
        <x:v>MyFirstEV</x:v>
      </x:c>
      <x:c r="D8" s="46"/>
      <x:c r="E8" s="46"/>
      <x:c r="F8" s="46" t="str">
        <x:v>CARB · MyFirstEV FAQ and participating manufacturers</x:v>
      </x:c>
      <x:c r="G8" s="46" t="str">
        <x:v>https://ww2.arb.ca.gov/resources/fact-sheets/myfirstev-frequently-asked-questions/printable/print</x:v>
      </x:c>
      <x:c r="H8" s="46" t="str">
        <x:v>Check first-time eligibility, exact income measure, vehicle price and participating make/dealer.</x:v>
      </x:c>
    </x:row>
    <x:row r="9" ht="61" customHeight="1">
      <x:c r="A9" s="38" t="str">
        <x:v>R03</x:v>
      </x:c>
      <x:c r="B9" s="38" t="str">
        <x:v>Incentive</x:v>
      </x:c>
      <x:c r="C9" s="46" t="str">
        <x:v>Clean Cars for All</x:v>
      </x:c>
      <x:c r="D9" s="46"/>
      <x:c r="E9" s="46"/>
      <x:c r="F9" s="46" t="str">
        <x:v>Bay Area Air District · Eligibility and Retired Vehicle Eligibility</x:v>
      </x:c>
      <x:c r="G9" s="46" t="str">
        <x:v>https://www.baaqmd.gov/en/funding-and-incentives/residents/clean-cars-for-all/eligibility?sc_lang=en</x:v>
      </x:c>
      <x:c r="H9" s="46" t="str">
        <x:v>Check Corolla eligibility, current intake and award. Rules prohibit retiring the same car through BAR CAP.</x:v>
      </x:c>
    </x:row>
    <x:row r="10" ht="61" customHeight="1">
      <x:c r="A10" s="38" t="str">
        <x:v>R04</x:v>
      </x:c>
      <x:c r="B10" s="38" t="str">
        <x:v>Incentive</x:v>
      </x:c>
      <x:c r="C10" s="46" t="str">
        <x:v>BAR CAP vehicle retirement</x:v>
      </x:c>
      <x:c r="D10" s="46"/>
      <x:c r="E10" s="46"/>
      <x:c r="F10" s="46" t="str">
        <x:v>California BAR · Retire my vehicle</x:v>
      </x:c>
      <x:c r="G10" s="46" t="str">
        <x:v>https://bar.ca.gov/cap/</x:v>
      </x:c>
      <x:c r="H10" s="46" t="str">
        <x:v>Check income, registration, emissions and surrender conditions. Compare separately with CCFA and private sale.</x:v>
      </x:c>
    </x:row>
    <x:row r="11" ht="61" customHeight="1">
      <x:c r="A11" s="38" t="str">
        <x:v>R05</x:v>
      </x:c>
      <x:c r="B11" s="38" t="str">
        <x:v>Incentive</x:v>
      </x:c>
      <x:c r="C11" s="46" t="str">
        <x:v>Driving Clean Assistance Program</x:v>
      </x:c>
      <x:c r="D11" s="46"/>
      <x:c r="E11" s="46"/>
      <x:c r="F11" s="46" t="str">
        <x:v>DCAP · Rollout Schedule → Bay Area AQMD</x:v>
      </x:c>
      <x:c r="G11" s="46" t="str">
        <x:v>https://drivingcleanca.org/dcap-rollout-schedule/</x:v>
      </x:c>
      <x:c r="H11" s="46" t="str">
        <x:v>Verify current intake, applicable track, household eligibility and stacking.</x:v>
      </x:c>
    </x:row>
    <x:row r="12" ht="61" customHeight="1">
      <x:c r="A12" s="38" t="str">
        <x:v>R06</x:v>
      </x:c>
      <x:c r="B12" s="38" t="str">
        <x:v>Incentive</x:v>
      </x:c>
      <x:c r="C12" s="46" t="str">
        <x:v>Federal new clean vehicle credit</x:v>
      </x:c>
      <x:c r="D12" s="46"/>
      <x:c r="E12" s="46"/>
      <x:c r="F12" s="46" t="str">
        <x:v>IRS · Form 8936 instructions → new clean vehicle credit caution</x:v>
      </x:c>
      <x:c r="G12" s="46" t="str">
        <x:v>https://www.irs.gov/instructions/i8936</x:v>
      </x:c>
      <x:c r="H12" s="46" t="str">
        <x:v>Acquisition cutoff Sept. 30, 2025. Exclusion lead for the assignment purchase.</x:v>
      </x:c>
    </x:row>
    <x:row r="13" ht="61" customHeight="1">
      <x:c r="A13" s="38" t="str">
        <x:v>R07</x:v>
      </x:c>
      <x:c r="B13" s="38" t="str">
        <x:v>Charger</x:v>
      </x:c>
      <x:c r="C13" s="46" t="str">
        <x:v>PG&amp;E Residential EV Charging Rebate</x:v>
      </x:c>
      <x:c r="D13" s="46"/>
      <x:c r="E13" s="46"/>
      <x:c r="F13" s="46" t="str">
        <x:v>PG&amp;E · Standard and Rebate Plus options</x:v>
      </x:c>
      <x:c r="G13" s="46" t="str">
        <x:v>https://www.pge.com/en/clean-energy/electric-vehicles/getting-started-with-electric-vehicles/residential-electric-vehicle-charging-rebate.html</x:v>
      </x:c>
      <x:c r="H13" s="46" t="str">
        <x:v>Check preapproval, eligible hardware, install coverage, funding and stacking.</x:v>
      </x:c>
    </x:row>
    <x:row r="14" ht="61" customHeight="1">
      <x:c r="A14" s="38" t="str">
        <x:v>R08</x:v>
      </x:c>
      <x:c r="B14" s="38" t="str">
        <x:v>Charger</x:v>
      </x:c>
      <x:c r="C14" s="46" t="str">
        <x:v>Federal refueling property credit</x:v>
      </x:c>
      <x:c r="D14" s="46"/>
      <x:c r="E14" s="46"/>
      <x:c r="F14" s="46" t="str">
        <x:v>IRS · Form 8911 instructions → What's New</x:v>
      </x:c>
      <x:c r="G14" s="46" t="str">
        <x:v>https://www.irs.gov/pub/irs-pdf/i8911.pdf</x:v>
      </x:c>
      <x:c r="H14" s="46" t="str">
        <x:v>Placed-in-service cutoff June 30, 2026. Exclusion lead for a new installation.</x:v>
      </x:c>
    </x:row>
    <x:row r="15" ht="61" customHeight="1">
      <x:c r="A15" s="38" t="str">
        <x:v>R09</x:v>
      </x:c>
      <x:c r="B15" s="38" t="str">
        <x:v>Operating cost</x:v>
      </x:c>
      <x:c r="C15" s="46" t="str">
        <x:v>San Jose regular gasoline</x:v>
      </x:c>
      <x:c r="D15" s="55" t="n">
        <x:v>5.7826</x:v>
      </x:c>
      <x:c r="E15" s="46" t="str">
        <x:v>USD/gal</x:v>
      </x:c>
      <x:c r="F15" s="46" t="str">
        <x:v>AAA · California metro average prices → San Jose → Current Avg., Regular</x:v>
      </x:c>
      <x:c r="G15" s="46" t="str">
        <x:v>https://gasprices.aaa.com/?state=CA</x:v>
      </x:c>
      <x:c r="H15" s="46" t="str">
        <x:v>Snapshot viewed Nov. 5, 2026. Refresh near submission or use a dated average.</x:v>
      </x:c>
    </x:row>
    <x:row r="16" ht="61" customHeight="1">
      <x:c r="A16" s="38" t="str">
        <x:v>R10</x:v>
      </x:c>
      <x:c r="B16" s="38" t="str">
        <x:v>Operating cost</x:v>
      </x:c>
      <x:c r="C16" s="46" t="str">
        <x:v>Home electricity rate</x:v>
      </x:c>
      <x:c r="D16" s="46"/>
      <x:c r="E16" s="46" t="str">
        <x:v>USD/kWh</x:v>
      </x:c>
      <x:c r="F16" s="46" t="str">
        <x:v>SJCE · Residential Rates and EV rate schedules</x:v>
      </x:c>
      <x:c r="G16" s="46" t="str">
        <x:v>https://sanjosecleanenergy.org/residential-rates/</x:v>
      </x:c>
      <x:c r="H16" s="46" t="str">
        <x:v>Find current EV2-A combined marginal delivery and generation rate. Document charging hours, service plan and discounts.</x:v>
      </x:c>
    </x:row>
    <x:row r="17" ht="61" customHeight="1">
      <x:c r="A17" s="38" t="str">
        <x:v>R11</x:v>
      </x:c>
      <x:c r="B17" s="38" t="str">
        <x:v>Operating cost</x:v>
      </x:c>
      <x:c r="C17" s="46" t="str">
        <x:v>BEV scheduled maintenance</x:v>
      </x:c>
      <x:c r="D17" s="56" t="n">
        <x:v>0.061</x:v>
      </x:c>
      <x:c r="E17" s="46" t="str">
        <x:v>USD/mi</x:v>
      </x:c>
      <x:c r="F17" s="46" t="str">
        <x:v>U.S. DOE · FOTW #1190, June 14, 2021</x:v>
      </x:c>
      <x:c r="G17" s="46" t="str">
        <x:v>https://www.energy.gov/cmei/vehicles/articles/fotw-1190-june-14-2021-battery-electric-vehicles-have-lower-scheduled</x:v>
      </x:c>
      <x:c r="H17" s="46" t="str">
        <x:v>Light-duty estimate. Compare the same maintenance scope against the Corolla case.</x:v>
      </x:c>
    </x:row>
    <x:row r="18" ht="61" customHeight="1">
      <x:c r="A18" s="38" t="str">
        <x:v>R12</x:v>
      </x:c>
      <x:c r="B18" s="38" t="str">
        <x:v>Operating cost</x:v>
      </x:c>
      <x:c r="C18" s="46" t="str">
        <x:v>Gas vehicle scheduled maintenance</x:v>
      </x:c>
      <x:c r="D18" s="56" t="n">
        <x:v>0.101</x:v>
      </x:c>
      <x:c r="E18" s="46" t="str">
        <x:v>USD/mi</x:v>
      </x:c>
      <x:c r="F18" s="46" t="str">
        <x:v>U.S. DOE · FOTW #1190, June 14, 2021</x:v>
      </x:c>
      <x:c r="G18" s="46" t="str">
        <x:v>https://www.energy.gov/cmei/vehicles/articles/fotw-1190-june-14-2021-battery-electric-vehicles-have-lower-scheduled</x:v>
      </x:c>
      <x:c r="H18" s="46" t="str">
        <x:v>Generic light-duty estimate. An older high-mileage Corolla may differ.</x:v>
      </x:c>
    </x:row>
    <x:row r="19" ht="61" customHeight="1">
      <x:c r="A19" s="38" t="str">
        <x:v>R13</x:v>
      </x:c>
      <x:c r="B19" s="38" t="str">
        <x:v>Operating cost</x:v>
      </x:c>
      <x:c r="C19" s="46" t="str">
        <x:v>Corolla combined MPG</x:v>
      </x:c>
      <x:c r="D19" s="46"/>
      <x:c r="E19" s="46" t="str">
        <x:v>mi/gal</x:v>
      </x:c>
      <x:c r="F19" s="46" t="str">
        <x:v>FuelEconomy.gov · Download Fuel Economy Data</x:v>
      </x:c>
      <x:c r="G19" s="46" t="str">
        <x:v>https://www.fueleconomy.gov/feg/download.shtml</x:v>
      </x:c>
      <x:c r="H19" s="46" t="str">
        <x:v>Match model year, engine and transmission. Keep any assumed configuration explicit.</x:v>
      </x:c>
    </x:row>
    <x:row r="20" ht="61" customHeight="1">
      <x:c r="A20" s="38" t="str">
        <x:v>R14</x:v>
      </x:c>
      <x:c r="B20" s="38" t="str">
        <x:v>Charger</x:v>
      </x:c>
      <x:c r="C20" s="46" t="str">
        <x:v>Level II installation and permit</x:v>
      </x:c>
      <x:c r="D20" s="46"/>
      <x:c r="E20" s="46" t="str">
        <x:v>USD</x:v>
      </x:c>
      <x:c r="F20" s="46" t="str">
        <x:v>City of San José · Level 2 Charging Station Installation</x:v>
      </x:c>
      <x:c r="G20" s="46" t="str">
        <x:v>https://www.sanjoseca.gov/businesses/development-services-permit-center/start-your-project/electric-vehicle-charging-stations</x:v>
      </x:c>
      <x:c r="H20" s="46" t="str">
        <x:v>Electrical permit required. Collect charger price and local installation quote with panel scope and permit fee.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47C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8.1299991607666" hidden="0" customWidth="1"/>
    <x:col min="3" max="3" width="8.130000114440918" hidden="0" customWidth="1"/>
    <x:col min="4" max="4" width="21.75" hidden="0" customWidth="1"/>
    <x:col min="5" max="5" width="11.5" hidden="0" customWidth="1"/>
    <x:col min="6" max="6" width="11.380000114440918" hidden="0" customWidth="1"/>
    <x:col min="7" max="7" width="11" hidden="0" customWidth="1"/>
    <x:col min="8" max="8" width="11.25" hidden="0" customWidth="1"/>
    <x:col min="9" max="9" width="10.380000114440918" hidden="0" customWidth="1"/>
    <x:col min="10" max="10" width="10.630000114440918" hidden="0" customWidth="1"/>
    <x:col min="11" max="11" width="12.75" hidden="0" customWidth="1"/>
    <x:col min="12" max="12" width="31.5" hidden="0" customWidth="1"/>
    <x:col min="13" max="13" width="37.25" hidden="0" customWidth="1"/>
    <x:col min="14" max="14" width="20.1299991607666" hidden="0" customWidth="1"/>
    <x:col min="15" max="15" width="27" hidden="0" customWidth="1"/>
    <x:col min="16" max="16" width="28" hidden="0" customWidth="1"/>
    <x:col min="17" max="17" width="23" hidden="0" customWidth="1"/>
  </x:cols>
  <x:sheetData>
    <x:row r="2" ht="31" customHeight="1">
      <x:c r="A2" s="78" t="str">
        <x:v>Part 1  |  New U.S. electric vehicle comparison</x:v>
      </x:c>
      <x:c r="B2" s="75"/>
      <x:c r="C2" s="75"/>
      <x:c r="D2" s="75"/>
      <x:c r="E2" s="75"/>
      <x:c r="F2" s="75"/>
      <x:c r="G2" s="75"/>
      <x:c r="H2" s="75"/>
      <x:c r="I2" s="75"/>
      <x:c r="J2" s="75"/>
      <x:c r="K2" s="75"/>
      <x:c r="L2" s="75"/>
      <x:c r="M2" s="75"/>
      <x:c r="N2" s="75"/>
    </x:row>
    <x:row r="3" ht="24" customHeight="1">
      <x:c r="A3" s="80" t="str">
        <x:v>16 models  •  13 makes  •  11 manufacturer groups  •  U.S. market snapshot checked November 5–6, 2026</x:v>
      </x:c>
      <x:c r="B3" s="79"/>
      <x:c r="C3" s="79"/>
      <x:c r="D3" s="79"/>
      <x:c r="E3" s="79"/>
      <x:c r="F3" s="79"/>
      <x:c r="G3" s="79"/>
      <x:c r="H3" s="79"/>
      <x:c r="I3" s="79"/>
      <x:c r="J3" s="79"/>
      <x:c r="K3" s="79"/>
      <x:c r="L3" s="79"/>
      <x:c r="M3" s="79"/>
      <x:c r="N3" s="79"/>
    </x:row>
    <x:row r="4" ht="21" customHeight="1">
      <x:c r="A4" s="74" t="str">
        <x:v>Lower-priced eligible candidates from the Price Screen. Prices include destination and exclude taxes, dealer add-ons and incentives. Longest-range trims were selected within each model year.</x:v>
      </x:c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</x:row>
    <x:row r="5" ht="21" customHeight="1">
      <x:c r="A5" s="74" t="str">
        <x:v>Efficiency = EPA range ÷ published battery capacity. Capacity basis varies. Empty 100-mile times indicate no matched result. Bolt time is model-level (E141).</x:v>
      </x:c>
      <x:c r="B5" s="74"/>
      <x:c r="C5" s="74"/>
      <x:c r="D5" s="74"/>
      <x:c r="E5" s="74"/>
      <x:c r="F5" s="74"/>
      <x:c r="G5" s="74"/>
      <x:c r="H5" s="74"/>
      <x:c r="I5" s="74"/>
      <x:c r="J5" s="74"/>
      <x:c r="K5" s="74"/>
      <x:c r="L5" s="74"/>
      <x:c r="M5" s="74"/>
      <x:c r="N5" s="74"/>
    </x:row>
    <x:row r="6" ht="21" customHeight="1">
      <x:c r="A6" s="74" t="str">
        <x:v>Use field IDs to find the source, locator and qualification on Evidence. New inventory links are snapshots and can change.</x:v>
      </x:c>
      <x:c r="B6" s="74"/>
      <x:c r="C6" s="74"/>
      <x:c r="D6" s="74"/>
      <x:c r="E6" s="74"/>
      <x:c r="F6" s="74"/>
      <x:c r="G6" s="74"/>
      <x:c r="H6" s="74"/>
      <x:c r="I6" s="74"/>
      <x:c r="J6" s="74"/>
      <x:c r="K6" s="74"/>
      <x:c r="L6" s="74"/>
      <x:c r="M6" s="74"/>
      <x:c r="N6" s="74"/>
    </x:row>
    <x:row r="7" ht="34" customHeight="1">
      <x:c r="A7" s="82" t="str">
        <x:v>Make</x:v>
      </x:c>
      <x:c r="B7" s="82" t="str">
        <x:v>Model</x:v>
      </x:c>
      <x:c r="C7" s="82" t="str">
        <x:v>Year</x:v>
      </x:c>
      <x:c r="D7" s="82" t="str">
        <x:v>Trim / drive</x:v>
      </x:c>
      <x:c r="E7" s="82" t="str">
        <x:v>List price ($)</x:v>
      </x:c>
      <x:c r="F7" s="82" t="str">
        <x:v>Battery (kWh)</x:v>
      </x:c>
      <x:c r="G7" s="82" t="str">
        <x:v>EPA range (mi)</x:v>
      </x:c>
      <x:c r="H7" s="82" t="str">
        <x:v>Efficiency (mi/kWh)</x:v>
      </x:c>
      <x:c r="I7" s="82" t="str">
        <x:v>0–60 mph (s)</x:v>
      </x:c>
      <x:c r="J7" s="82" t="str">
        <x:v>Peak DC (kW)</x:v>
      </x:c>
      <x:c r="K7" s="82" t="str">
        <x:v>100 mi added (min)</x:v>
      </x:c>
      <x:c r="L7" s="82" t="str">
        <x:v>Field evidence IDs</x:v>
      </x:c>
      <x:c r="M7" s="82" t="str">
        <x:v>Source notes</x:v>
      </x:c>
      <x:c r="N7" s="82" t="str">
        <x:v>Manufacturer group</x:v>
      </x:c>
      <x:c r="O7" s="11" t="str">
        <x:v>EPA wall use (kWh/100 mi)</x:v>
      </x:c>
      <x:c r="P7" s="11" t="str">
        <x:v>Annual charging cost ($/yr)</x:v>
      </x:c>
      <x:c r="Q7" s="11" t="str">
        <x:v>EPA source</x:v>
      </x:c>
    </x:row>
    <x:row r="8" ht="55" customHeight="1">
      <x:c r="A8" s="92" t="str">
        <x:f>Vehicles!B7</x:f>
        <x:v>Chevrolet</x:v>
      </x:c>
      <x:c r="B8" s="92" t="str">
        <x:f>Vehicles!C7</x:f>
        <x:v>Bolt</x:v>
      </x:c>
      <x:c r="C8" s="92" t="n">
        <x:f>Vehicles!D7</x:f>
        <x:v>2027</x:v>
      </x:c>
      <x:c r="D8" s="92" t="str">
        <x:f>Vehicles!E7</x:f>
        <x:v>LT FWD</x:v>
      </x:c>
      <x:c r="E8" s="101" t="n">
        <x:f>Vehicles!F7</x:f>
        <x:v>28995</x:v>
      </x:c>
      <x:c r="F8" s="93" t="n">
        <x:f>Vehicles!G7</x:f>
        <x:v>65</x:v>
      </x:c>
      <x:c r="G8" s="92" t="n">
        <x:f>Vehicles!H7</x:f>
        <x:v>262</x:v>
      </x:c>
      <x:c r="H8" s="103" t="n">
        <x:f>Vehicles!I7</x:f>
        <x:v>4.030769230769231</x:v>
      </x:c>
      <x:c r="I8" s="97" t="n">
        <x:f>Vehicles!J7</x:f>
        <x:v>7.1</x:v>
      </x:c>
      <x:c r="J8" s="92" t="n">
        <x:f>Vehicles!K7</x:f>
        <x:v>150</x:v>
      </x:c>
      <x:c r="K8" s="193" t="n">
        <x:f>IF(ISNUMBER(Vehicles!L7),IF(Vehicles!L7&gt;0,Vehicles!L7,"") ,"")</x:f>
        <x:v>12.65</x:v>
      </x:c>
      <x:c r="L8" s="92" t="str">
        <x:f>Vehicles!N7</x:f>
        <x:v>Price E05 · battery E06 · range E07 · 0–60 E08 · DC E09 · 100 mi E141 · stock E10 · size E11</x:v>
      </x:c>
      <x:c r="M8" s="92" t="str">
        <x:f>Vehicles!M7</x:f>
        <x:v>Required specs sourced. New listing found. Price includes destination.</x:v>
      </x:c>
      <x:c r="N8" s="92" t="str">
        <x:v>General Motors</x:v>
      </x:c>
      <x:c r="O8" s="192" t="n">
        <x:f>'Part 3 Break-Even'!B18</x:f>
        <x:v>28</x:v>
      </x:c>
      <x:c r="P8" s="262" t="n">
        <x:f>IF(COUNT(O8,'Part 3 Break-Even'!$B$15,'Part 3 Break-Even'!$B$19)=3,O8/100*'Part 3 Break-Even'!$B$15*'Part 3 Break-Even'!$B$19,"")</x:f>
        <x:v>682.9118688000001</x:v>
      </x:c>
      <x:c r="Q8" s="264" t="inlineStr">
        <x:is>
          <x:t xml:space="preserve">EPA vehicle record</x:t>
        </x:is>
      </x:c>
    </x:row>
    <x:row r="9" ht="55" customHeight="1">
      <x:c r="A9" s="94" t="str">
        <x:f>Vehicles!B8</x:f>
        <x:v>Nissan</x:v>
      </x:c>
      <x:c r="B9" s="94" t="str">
        <x:f>Vehicles!C8</x:f>
        <x:v>LEAF</x:v>
      </x:c>
      <x:c r="C9" s="94" t="n">
        <x:f>Vehicles!D8</x:f>
        <x:v>2026</x:v>
      </x:c>
      <x:c r="D9" s="94" t="str">
        <x:f>Vehicles!E8</x:f>
        <x:v>S+ FWD</x:v>
      </x:c>
      <x:c r="E9" s="102" t="n">
        <x:f>Vehicles!F8</x:f>
        <x:v>31535</x:v>
      </x:c>
      <x:c r="F9" s="95" t="n">
        <x:f>Vehicles!G8</x:f>
        <x:v>75</x:v>
      </x:c>
      <x:c r="G9" s="94" t="n">
        <x:f>Vehicles!H8</x:f>
        <x:v>303</x:v>
      </x:c>
      <x:c r="H9" s="100" t="n">
        <x:f>Vehicles!I8</x:f>
        <x:v>4.04</x:v>
      </x:c>
      <x:c r="I9" s="104" t="n">
        <x:f>Vehicles!J8</x:f>
        <x:v>7.2</x:v>
      </x:c>
      <x:c r="J9" s="94" t="n">
        <x:f>Vehicles!K8</x:f>
        <x:v>150</x:v>
      </x:c>
      <x:c r="K9" s="100" t="str">
        <x:f>IF(ISNUMBER(Vehicles!L8),IF(Vehicles!L8&gt;0,Vehicles!L8,"") ,"")</x:f>
      </x:c>
      <x:c r="L9" s="94" t="str">
        <x:f>Vehicles!N8</x:f>
        <x:v>Price E12–13 · battery E14 · range E15 · 0–60 E140 · DC E16 · stock E17 · size E18</x:v>
      </x:c>
      <x:c r="M9" s="94" t="str">
        <x:f>Vehicles!M8</x:f>
        <x:v>0–60 is the trim-specific ProfessCars simulation, not an instrumented result. New San José listing.</x:v>
      </x:c>
      <x:c r="N9" s="94" t="str">
        <x:v>Nissan Motor Co.</x:v>
      </x:c>
      <x:c r="O9" s="98" t="n">
        <x:v>28</x:v>
      </x:c>
      <x:c r="P9" s="263" t="n">
        <x:f>IF(COUNT(O9,'Part 3 Break-Even'!$B$15,'Part 3 Break-Even'!$B$19)=3,O9/100*'Part 3 Break-Even'!$B$15*'Part 3 Break-Even'!$B$19,"")</x:f>
        <x:v>682.9118688000001</x:v>
      </x:c>
      <x:c r="Q9" s="265" t="inlineStr">
        <x:is>
          <x:t xml:space="preserve">EPA vehicle record</x:t>
        </x:is>
      </x:c>
    </x:row>
    <x:row r="10" ht="55" customHeight="1">
      <x:c r="A10" s="92" t="str">
        <x:f>Vehicles!B10</x:f>
        <x:v>Subaru</x:v>
      </x:c>
      <x:c r="B10" s="92" t="str">
        <x:f>Vehicles!C10</x:f>
        <x:v>Uncharted</x:v>
      </x:c>
      <x:c r="C10" s="92" t="n">
        <x:f>Vehicles!D10</x:f>
        <x:v>2026</x:v>
      </x:c>
      <x:c r="D10" s="92" t="str">
        <x:f>Vehicles!E10</x:f>
        <x:v>Premium FWD</x:v>
      </x:c>
      <x:c r="E10" s="101" t="n">
        <x:f>Vehicles!F10</x:f>
        <x:v>36445</x:v>
      </x:c>
      <x:c r="F10" s="93" t="n">
        <x:f>Vehicles!G10</x:f>
        <x:v>74.7</x:v>
      </x:c>
      <x:c r="G10" s="92" t="n">
        <x:f>Vehicles!H10</x:f>
        <x:v>308</x:v>
      </x:c>
      <x:c r="H10" s="103" t="n">
        <x:f>Vehicles!I10</x:f>
        <x:v>4.123159303882195</x:v>
      </x:c>
      <x:c r="I10" s="104" t="n">
        <x:f>Vehicles!J10</x:f>
        <x:v>6.5</x:v>
      </x:c>
      <x:c r="J10" s="92" t="n">
        <x:f>Vehicles!K10</x:f>
        <x:v>150</x:v>
      </x:c>
      <x:c r="K10" s="193" t="str">
        <x:f>IF(ISNUMBER(Vehicles!L10),IF(Vehicles!L10&gt;0,Vehicles!L10,"") ,"")</x:f>
      </x:c>
      <x:c r="L10" s="92" t="str">
        <x:f>Vehicles!N10</x:f>
        <x:v>Price E28–E29 · battery E30 · range E31 · 0–60 E67 · DC E32 · stock E33 · group E134</x:v>
      </x:c>
      <x:c r="M10" s="92" t="str">
        <x:f>Vehicles!M10</x:f>
        <x:v>0–60 is MotorTrend’s estimate for this FWD trim. New San Jose listing.</x:v>
      </x:c>
      <x:c r="N10" s="92" t="str">
        <x:v>Subaru Corporation</x:v>
      </x:c>
      <x:c r="O10" s="192" t="n">
        <x:v>26</x:v>
      </x:c>
      <x:c r="P10" s="262" t="n">
        <x:f>IF(COUNT(O10,'Part 3 Break-Even'!$B$15,'Part 3 Break-Even'!$B$19)=3,O10/100*'Part 3 Break-Even'!$B$15*'Part 3 Break-Even'!$B$19,"")</x:f>
        <x:v>634.1324496000001</x:v>
      </x:c>
      <x:c r="Q10" s="264" t="inlineStr">
        <x:is>
          <x:t xml:space="preserve">EPA vehicle record</x:t>
        </x:is>
      </x:c>
    </x:row>
    <x:row r="11" ht="55" customHeight="1">
      <x:c r="A11" s="94" t="str">
        <x:f>Vehicles!B6</x:f>
        <x:v>Chevrolet</x:v>
      </x:c>
      <x:c r="B11" s="94" t="str">
        <x:f>Vehicles!C6</x:f>
        <x:v>Equinox EV</x:v>
      </x:c>
      <x:c r="C11" s="94" t="n">
        <x:f>Vehicles!D6</x:f>
        <x:v>2026</x:v>
      </x:c>
      <x:c r="D11" s="94" t="str">
        <x:f>Vehicles!E6</x:f>
        <x:v>LT 1 FWD</x:v>
      </x:c>
      <x:c r="E11" s="102" t="n">
        <x:f>Vehicles!F6</x:f>
        <x:v>36795</x:v>
      </x:c>
      <x:c r="F11" s="95" t="n">
        <x:f>Vehicles!G6</x:f>
        <x:v>85</x:v>
      </x:c>
      <x:c r="G11" s="94" t="n">
        <x:f>Vehicles!H6</x:f>
        <x:v>319</x:v>
      </x:c>
      <x:c r="H11" s="100" t="n">
        <x:f>Vehicles!I6</x:f>
        <x:v>3.7529411764705882</x:v>
      </x:c>
      <x:c r="I11" s="104" t="n">
        <x:f>Vehicles!J6</x:f>
        <x:v>7.9</x:v>
      </x:c>
      <x:c r="J11" s="94" t="n">
        <x:f>Vehicles!K6</x:f>
        <x:v>150</x:v>
      </x:c>
      <x:c r="K11" s="100" t="str">
        <x:f>IF(ISNUMBER(Vehicles!L6),IF(Vehicles!L6&gt;0,Vehicles!L6,"") ,"")</x:f>
      </x:c>
      <x:c r="L11" s="94" t="str">
        <x:f>Vehicles!N6</x:f>
        <x:v>Price E112 · battery E02 · range E03 · 0–60 E113 · DC E04 · stock E114</x:v>
      </x:c>
      <x:c r="M11" s="94" t="str">
        <x:f>Vehicles!M6</x:f>
        <x:v>Dealer 0–60 figure with unspecified test method. New San Jose listing.</x:v>
      </x:c>
      <x:c r="N11" s="94" t="str">
        <x:v>General Motors</x:v>
      </x:c>
      <x:c r="O11" s="98" t="n">
        <x:v>31</x:v>
      </x:c>
      <x:c r="P11" s="263" t="n">
        <x:f>IF(COUNT(O11,'Part 3 Break-Even'!$B$15,'Part 3 Break-Even'!$B$19)=3,O11/100*'Part 3 Break-Even'!$B$15*'Part 3 Break-Even'!$B$19,"")</x:f>
        <x:v>756.0809976</x:v>
      </x:c>
      <x:c r="Q11" s="265" t="inlineStr">
        <x:is>
          <x:t xml:space="preserve">EPA vehicle record</x:t>
        </x:is>
      </x:c>
    </x:row>
    <x:row r="12" ht="55" customHeight="1">
      <x:c r="A12" s="92" t="str">
        <x:f>Vehicles!B16</x:f>
        <x:v>Toyota</x:v>
      </x:c>
      <x:c r="B12" s="92" t="str">
        <x:f>Vehicles!C16</x:f>
        <x:v>C-HR</x:v>
      </x:c>
      <x:c r="C12" s="92" t="n">
        <x:f>Vehicles!D16</x:f>
        <x:v>2026</x:v>
      </x:c>
      <x:c r="D12" s="92" t="str">
        <x:f>Vehicles!E16</x:f>
        <x:v>SE AWD</x:v>
      </x:c>
      <x:c r="E12" s="101" t="n">
        <x:f>Vehicles!F16</x:f>
        <x:v>38595</x:v>
      </x:c>
      <x:c r="F12" s="93" t="n">
        <x:f>Vehicles!G16</x:f>
        <x:v>74.7</x:v>
      </x:c>
      <x:c r="G12" s="92" t="n">
        <x:f>Vehicles!H16</x:f>
        <x:v>287</x:v>
      </x:c>
      <x:c r="H12" s="103" t="n">
        <x:f>Vehicles!I16</x:f>
        <x:v>3.8420348058902274</x:v>
      </x:c>
      <x:c r="I12" s="104" t="n">
        <x:f>Vehicles!J16</x:f>
        <x:v>4.9</x:v>
      </x:c>
      <x:c r="J12" s="92" t="n">
        <x:f>Vehicles!K16</x:f>
        <x:v>150</x:v>
      </x:c>
      <x:c r="K12" s="193" t="str">
        <x:f>IF(ISNUMBER(Vehicles!L16),IF(Vehicles!L16&gt;0,Vehicles!L16,"") ,"")</x:f>
      </x:c>
      <x:c r="L12" s="92" t="str">
        <x:f>Vehicles!N16</x:f>
        <x:v>Price E69–70 · battery E71 · range E72 · 0–60 E73 · DC E74 · stock E75 · size E76</x:v>
      </x:c>
      <x:c r="M12" s="92" t="str">
        <x:f>Vehicles!M16</x:f>
        <x:v>Required specs sourced. Toyota 0–60 estimate. New San Jose listing.</x:v>
      </x:c>
      <x:c r="N12" s="92" t="str">
        <x:v>Toyota Motor Corporation</x:v>
      </x:c>
      <x:c r="O12" s="192" t="n">
        <x:v>29</x:v>
      </x:c>
      <x:c r="P12" s="262" t="n">
        <x:f>IF(COUNT(O12,'Part 3 Break-Even'!$B$15,'Part 3 Break-Even'!$B$19)=3,O12/100*'Part 3 Break-Even'!$B$15*'Part 3 Break-Even'!$B$19,"")</x:f>
        <x:v>707.3015784</x:v>
      </x:c>
      <x:c r="Q12" s="264" t="inlineStr">
        <x:is>
          <x:t xml:space="preserve">EPA vehicle record</x:t>
        </x:is>
      </x:c>
    </x:row>
    <x:row r="13" ht="55" customHeight="1">
      <x:c r="A13" s="94" t="str">
        <x:f>Vehicles!B11</x:f>
        <x:v>Hyundai</x:v>
      </x:c>
      <x:c r="B13" s="94" t="str">
        <x:f>Vehicles!C11</x:f>
        <x:v>IONIQ 5</x:v>
      </x:c>
      <x:c r="C13" s="94" t="n">
        <x:f>Vehicles!D11</x:f>
        <x:v>2027</x:v>
      </x:c>
      <x:c r="D13" s="94" t="str">
        <x:f>Vehicles!E11</x:f>
        <x:v>SE Long Range RWD</x:v>
      </x:c>
      <x:c r="E13" s="102" t="n">
        <x:f>Vehicles!F11</x:f>
        <x:v>39400</x:v>
      </x:c>
      <x:c r="F13" s="95" t="n">
        <x:f>Vehicles!G11</x:f>
        <x:v>84</x:v>
      </x:c>
      <x:c r="G13" s="94" t="n">
        <x:f>Vehicles!H11</x:f>
        <x:v>318</x:v>
      </x:c>
      <x:c r="H13" s="100" t="n">
        <x:f>Vehicles!I11</x:f>
        <x:v>3.7857142857142856</x:v>
      </x:c>
      <x:c r="I13" s="95" t="n">
        <x:f>Vehicles!J11</x:f>
        <x:v>7.4</x:v>
      </x:c>
      <x:c r="J13" s="94" t="n">
        <x:f>Vehicles!K11</x:f>
        <x:v>250</x:v>
      </x:c>
      <x:c r="K13" s="100" t="str">
        <x:f>IF(ISNUMBER(Vehicles!L11),IF(Vehicles!L11&gt;0,Vehicles!L11,"") ,"")</x:f>
      </x:c>
      <x:c r="L13" s="94" t="str">
        <x:f>Vehicles!N11</x:f>
        <x:v>Price E34–E35 · battery E36 · range E37 · 0–60 E115/E116 · DC E38 · stock E39 · group E135</x:v>
      </x:c>
      <x:c r="M13" s="94" t="str">
        <x:f>Vehicles!M11</x:f>
        <x:v>Published 0–60 with unspecified test method. C/D corroborates for the earlier 225-hp RWD powertrain.</x:v>
      </x:c>
      <x:c r="N13" s="94" t="str">
        <x:v>Hyundai Motor Group</x:v>
      </x:c>
      <x:c r="O13" s="98" t="n">
        <x:v>30</x:v>
      </x:c>
      <x:c r="P13" s="263" t="n">
        <x:f>IF(COUNT(O13,'Part 3 Break-Even'!$B$15,'Part 3 Break-Even'!$B$19)=3,O13/100*'Part 3 Break-Even'!$B$15*'Part 3 Break-Even'!$B$19,"")</x:f>
        <x:v>731.6912880000001</x:v>
      </x:c>
      <x:c r="Q13" s="265" t="inlineStr">
        <x:is>
          <x:t xml:space="preserve">EPA vehicle record</x:t>
        </x:is>
      </x:c>
    </x:row>
    <x:row r="14" ht="55" customHeight="1">
      <x:c r="A14" s="92" t="str">
        <x:f>Vehicles!B12</x:f>
        <x:v>Toyota</x:v>
      </x:c>
      <x:c r="B14" s="92" t="str">
        <x:f>Vehicles!C12</x:f>
        <x:v>bZ</x:v>
      </x:c>
      <x:c r="C14" s="92" t="n">
        <x:f>Vehicles!D12</x:f>
        <x:v>2027</x:v>
      </x:c>
      <x:c r="D14" s="92" t="str">
        <x:f>Vehicles!E12</x:f>
        <x:v>XLE FWD Plus</x:v>
      </x:c>
      <x:c r="E14" s="101" t="n">
        <x:f>Vehicles!F12</x:f>
        <x:v>39575</x:v>
      </x:c>
      <x:c r="F14" s="97" t="n">
        <x:f>Vehicles!G12</x:f>
        <x:v>74.7</x:v>
      </x:c>
      <x:c r="G14" s="92" t="n">
        <x:f>Vehicles!H12</x:f>
        <x:v>314</x:v>
      </x:c>
      <x:c r="H14" s="103" t="n">
        <x:f>Vehicles!I12</x:f>
        <x:v>4.203480589022758</x:v>
      </x:c>
      <x:c r="I14" s="104" t="n">
        <x:f>Vehicles!J12</x:f>
        <x:v>6.2</x:v>
      </x:c>
      <x:c r="J14" s="92" t="n">
        <x:f>Vehicles!K12</x:f>
        <x:v>150</x:v>
      </x:c>
      <x:c r="K14" s="193" t="str">
        <x:f>IF(ISNUMBER(Vehicles!L12),IF(Vehicles!L12&gt;0,Vehicles!L12,"") ,"")</x:f>
      </x:c>
      <x:c r="L14" s="92" t="str">
        <x:f>Vehicles!N12</x:f>
        <x:v>Price E55 · battery E41 · range E42 · 0–60 E56 · DC E57 · carryover E58 · stock E43</x:v>
      </x:c>
      <x:c r="M14" s="92" t="str">
        <x:f>Vehicles!M12</x:f>
        <x:v>Required specs sourced. 2026 matching-trim test used for unchanged 2027 model.</x:v>
      </x:c>
      <x:c r="N14" s="92" t="str">
        <x:v>Toyota Motor Corporation</x:v>
      </x:c>
      <x:c r="O14" s="192" t="n">
        <x:v>26</x:v>
      </x:c>
      <x:c r="P14" s="262" t="n">
        <x:f>IF(COUNT(O14,'Part 3 Break-Even'!$B$15,'Part 3 Break-Even'!$B$19)=3,O14/100*'Part 3 Break-Even'!$B$15*'Part 3 Break-Even'!$B$19,"")</x:f>
        <x:v>634.1324496000001</x:v>
      </x:c>
      <x:c r="Q14" s="264" t="inlineStr">
        <x:is>
          <x:t xml:space="preserve">EPA vehicle record</x:t>
        </x:is>
      </x:c>
    </x:row>
    <x:row r="15" ht="55" customHeight="1">
      <x:c r="A15" s="94" t="str">
        <x:f>Vehicles!B22</x:f>
        <x:v>Subaru</x:v>
      </x:c>
      <x:c r="B15" s="94" t="str">
        <x:f>Vehicles!C22</x:f>
        <x:v>Solterra</x:v>
      </x:c>
      <x:c r="C15" s="94" t="n">
        <x:f>Vehicles!D22</x:f>
        <x:v>2026</x:v>
      </x:c>
      <x:c r="D15" s="94" t="str">
        <x:f>Vehicles!E22</x:f>
        <x:v>Premium AWD</x:v>
      </x:c>
      <x:c r="E15" s="102" t="n">
        <x:f>Vehicles!F22</x:f>
        <x:v>39945</x:v>
      </x:c>
      <x:c r="F15" s="98" t="n">
        <x:f>Vehicles!G22</x:f>
        <x:v>74.7</x:v>
      </x:c>
      <x:c r="G15" s="94" t="n">
        <x:f>Vehicles!H22</x:f>
        <x:v>288</x:v>
      </x:c>
      <x:c r="H15" s="100" t="n">
        <x:f>Vehicles!I22</x:f>
        <x:v>3.855421686746988</x:v>
      </x:c>
      <x:c r="I15" s="95" t="n">
        <x:f>Vehicles!J22</x:f>
        <x:v>5.9</x:v>
      </x:c>
      <x:c r="J15" s="94" t="n">
        <x:f>Vehicles!K22</x:f>
        <x:v>150</x:v>
      </x:c>
      <x:c r="K15" s="100" t="str">
        <x:f>IF(ISNUMBER(Vehicles!L22),IF(Vehicles!L22&gt;0,Vehicles!L22,"") ,"")</x:f>
      </x:c>
      <x:c r="L15" s="94" t="str">
        <x:f>Vehicles!N22</x:f>
        <x:v>Price E121 · battery E122 · range E123 · 0–60 E124 · DC E125 · stock E126 · group E134</x:v>
      </x:c>
      <x:c r="M15" s="94" t="str">
        <x:f>Vehicles!M22</x:f>
        <x:v>0–60 is Car and Driver’s estimate for the base powertrain. New Bay Area listing.</x:v>
      </x:c>
      <x:c r="N15" s="94" t="str">
        <x:v>Subaru Corporation</x:v>
      </x:c>
      <x:c r="O15" s="98" t="n">
        <x:v>28</x:v>
      </x:c>
      <x:c r="P15" s="263" t="n">
        <x:f>IF(COUNT(O15,'Part 3 Break-Even'!$B$15,'Part 3 Break-Even'!$B$19)=3,O15/100*'Part 3 Break-Even'!$B$15*'Part 3 Break-Even'!$B$19,"")</x:f>
        <x:v>682.9118688000001</x:v>
      </x:c>
      <x:c r="Q15" s="265" t="inlineStr">
        <x:is>
          <x:t xml:space="preserve">EPA vehicle record</x:t>
        </x:is>
      </x:c>
    </x:row>
    <x:row r="16" ht="55" customHeight="1">
      <x:c r="A16" s="92" t="str">
        <x:f>Vehicles!B13</x:f>
        <x:v>Volvo</x:v>
      </x:c>
      <x:c r="B16" s="92" t="str">
        <x:f>Vehicles!C13</x:f>
        <x:v>EX30</x:v>
      </x:c>
      <x:c r="C16" s="92" t="n">
        <x:f>Vehicles!D13</x:f>
        <x:v>2026</x:v>
      </x:c>
      <x:c r="D16" s="92" t="str">
        <x:f>Vehicles!E13</x:f>
        <x:v>Plus Single Motor RWD</x:v>
      </x:c>
      <x:c r="E16" s="101" t="n">
        <x:f>Vehicles!F13</x:f>
        <x:v>40345</x:v>
      </x:c>
      <x:c r="F16" s="93" t="n">
        <x:f>Vehicles!G13</x:f>
        <x:v>69</x:v>
      </x:c>
      <x:c r="G16" s="92" t="n">
        <x:f>Vehicles!H13</x:f>
        <x:v>261</x:v>
      </x:c>
      <x:c r="H16" s="103" t="n">
        <x:f>Vehicles!I13</x:f>
        <x:v>3.782608695652174</x:v>
      </x:c>
      <x:c r="I16" s="97" t="n">
        <x:f>Vehicles!J13</x:f>
        <x:v>4.8</x:v>
      </x:c>
      <x:c r="J16" s="92" t="n">
        <x:f>Vehicles!K13</x:f>
        <x:v>153</x:v>
      </x:c>
      <x:c r="K16" s="193" t="str">
        <x:f>IF(ISNUMBER(Vehicles!L13),IF(Vehicles!L13&gt;0,Vehicles!L13,"") ,"")</x:f>
      </x:c>
      <x:c r="L16" s="92" t="str">
        <x:f>Vehicles!N13&amp;" · group E138"</x:f>
        <x:v>List price E44 · Battery E45 · EPA range E46 · 0–60 mph E47 · Peak DC E48 · New listing E49 · Size screen E50 · group E138</x:v>
      </x:c>
      <x:c r="M16" s="92" t="str">
        <x:f>Vehicles!M13</x:f>
        <x:v>Required specs sourced. New U.S. listing found. MSRP includes destination.</x:v>
      </x:c>
      <x:c r="N16" s="92" t="str">
        <x:v>Geely Holding</x:v>
      </x:c>
      <x:c r="O16" s="192" t="n">
        <x:v>29</x:v>
      </x:c>
      <x:c r="P16" s="262" t="n">
        <x:f>IF(COUNT(O16,'Part 3 Break-Even'!$B$15,'Part 3 Break-Even'!$B$19)=3,O16/100*'Part 3 Break-Even'!$B$15*'Part 3 Break-Even'!$B$19,"")</x:f>
        <x:v>707.3015784</x:v>
      </x:c>
      <x:c r="Q16" s="264" t="inlineStr">
        <x:is>
          <x:t xml:space="preserve">EPA vehicle record</x:t>
        </x:is>
      </x:c>
    </x:row>
    <x:row r="17" ht="55" customHeight="1">
      <x:c r="A17" s="94" t="str">
        <x:f>Vehicles!B20</x:f>
        <x:v>Kia</x:v>
      </x:c>
      <x:c r="B17" s="94" t="str">
        <x:f>Vehicles!C20</x:f>
        <x:v>EV6</x:v>
      </x:c>
      <x:c r="C17" s="94" t="n">
        <x:f>Vehicles!D20</x:f>
        <x:v>2026</x:v>
      </x:c>
      <x:c r="D17" s="94" t="str">
        <x:f>Vehicles!E20</x:f>
        <x:v>Light Long Range RWD</x:v>
      </x:c>
      <x:c r="E17" s="102" t="n">
        <x:f>Vehicles!F20</x:f>
        <x:v>42745</x:v>
      </x:c>
      <x:c r="F17" s="99" t="n">
        <x:f>Vehicles!G20</x:f>
        <x:v>84</x:v>
      </x:c>
      <x:c r="G17" s="94" t="n">
        <x:f>Vehicles!H20</x:f>
        <x:v>319</x:v>
      </x:c>
      <x:c r="H17" s="100" t="n">
        <x:f>Vehicles!I20</x:f>
        <x:v>3.7976190476190474</x:v>
      </x:c>
      <x:c r="I17" s="95" t="n">
        <x:f>Vehicles!J20</x:f>
        <x:v>7.3</x:v>
      </x:c>
      <x:c r="J17" s="94" t="n">
        <x:f>Vehicles!K20</x:f>
        <x:v>240</x:v>
      </x:c>
      <x:c r="K17" s="100" t="str">
        <x:f>IF(ISNUMBER(Vehicles!L20),IF(Vehicles!L20&gt;0,Vehicles!L20,"") ,"")</x:f>
      </x:c>
      <x:c r="L17" s="94" t="str">
        <x:f>Vehicles!N20&amp;" · group E135"</x:f>
        <x:v>Price E96–97 · battery E98 · range E99 · 0–60 E100 · DC E101 · stock E102 · group E135</x:v>
      </x:c>
      <x:c r="M17" s="94" t="str">
        <x:f>Vehicles!M20</x:f>
        <x:v>Required specs sourced. New U.S. inventory listing found.</x:v>
      </x:c>
      <x:c r="N17" s="94" t="str">
        <x:v>Hyundai Motor Group</x:v>
      </x:c>
      <x:c r="O17" s="98" t="n">
        <x:v>30</x:v>
      </x:c>
      <x:c r="P17" s="263" t="n">
        <x:f>IF(COUNT(O17,'Part 3 Break-Even'!$B$15,'Part 3 Break-Even'!$B$19)=3,O17/100*'Part 3 Break-Even'!$B$15*'Part 3 Break-Even'!$B$19,"")</x:f>
        <x:v>731.6912880000001</x:v>
      </x:c>
      <x:c r="Q17" s="265" t="inlineStr">
        <x:is>
          <x:t xml:space="preserve">EPA vehicle record</x:t>
        </x:is>
      </x:c>
    </x:row>
    <x:row r="18" ht="55" customHeight="1">
      <x:c r="A18" s="92" t="str">
        <x:f>Vehicles!B14</x:f>
        <x:v>Tesla</x:v>
      </x:c>
      <x:c r="B18" s="92" t="str">
        <x:f>Vehicles!C14</x:f>
        <x:v>Model 3</x:v>
      </x:c>
      <x:c r="C18" s="92" t="n">
        <x:f>Vehicles!D14</x:f>
        <x:v>2026</x:v>
      </x:c>
      <x:c r="D18" s="92" t="str">
        <x:f>Vehicles!E14</x:f>
        <x:v>Premium RWD</x:v>
      </x:c>
      <x:c r="E18" s="101" t="n">
        <x:f>Vehicles!F14</x:f>
        <x:v>43880</x:v>
      </x:c>
      <x:c r="F18" s="97" t="n">
        <x:f>Vehicles!G14</x:f>
        <x:v>82</x:v>
      </x:c>
      <x:c r="G18" s="92" t="n">
        <x:f>Vehicles!H14</x:f>
        <x:v>363</x:v>
      </x:c>
      <x:c r="H18" s="103" t="n">
        <x:f>Vehicles!I14</x:f>
        <x:v>4.426829268292683</x:v>
      </x:c>
      <x:c r="I18" s="97" t="n">
        <x:f>Vehicles!J14</x:f>
        <x:v>4.8</x:v>
      </x:c>
      <x:c r="J18" s="92" t="n">
        <x:f>Vehicles!K14</x:f>
        <x:v>250</x:v>
      </x:c>
      <x:c r="K18" s="193" t="n">
        <x:f>IF(ISNUMBER(Vehicles!L14),IF(Vehicles!L14&gt;0,Vehicles!L14,"") ,"")</x:f>
        <x:v>12</x:v>
      </x:c>
      <x:c r="L18" s="92" t="str">
        <x:f>Vehicles!N14</x:f>
        <x:v>Price E109 · battery E117/E110 · range E51 · 0–60 E118 · DC E53 · 100 mi E119 · order/stock E54/E120</x:v>
      </x:c>
      <x:c r="M18" s="92" t="str">
        <x:f>Vehicles!M14</x:f>
        <x:v>Battery and calculated efficiency approximate. New U.S. stock from a third-party listing and Tesla shows the orderable trim.</x:v>
      </x:c>
      <x:c r="N18" s="92" t="str">
        <x:v>Tesla</x:v>
      </x:c>
      <x:c r="O18" s="192" t="n">
        <x:v>25</x:v>
      </x:c>
      <x:c r="P18" s="262" t="n">
        <x:f>IF(COUNT(O18,'Part 3 Break-Even'!$B$15,'Part 3 Break-Even'!$B$19)=3,O18/100*'Part 3 Break-Even'!$B$15*'Part 3 Break-Even'!$B$19,"")</x:f>
        <x:v>609.74274</x:v>
      </x:c>
      <x:c r="Q18" s="264" t="inlineStr">
        <x:is>
          <x:t xml:space="preserve">EPA vehicle record</x:t>
        </x:is>
      </x:c>
    </x:row>
    <x:row r="19" ht="55" customHeight="1">
      <x:c r="A19" s="94" t="str">
        <x:f>Vehicles!B15</x:f>
        <x:v>MINI</x:v>
      </x:c>
      <x:c r="B19" s="94" t="str">
        <x:f>Vehicles!C15</x:f>
        <x:v>Countryman Electric</x:v>
      </x:c>
      <x:c r="C19" s="94" t="n">
        <x:f>Vehicles!D15</x:f>
        <x:v>2027</x:v>
      </x:c>
      <x:c r="D19" s="94" t="str">
        <x:f>Vehicles!E15</x:f>
        <x:v>SE ALL4 Signature Plus</x:v>
      </x:c>
      <x:c r="E19" s="102" t="n">
        <x:f>Vehicles!F15</x:f>
        <x:v>46550</x:v>
      </x:c>
      <x:c r="F19" s="98" t="n">
        <x:f>Vehicles!G15</x:f>
        <x:v>64.7</x:v>
      </x:c>
      <x:c r="G19" s="94" t="n">
        <x:f>Vehicles!H15</x:f>
        <x:v>216</x:v>
      </x:c>
      <x:c r="H19" s="100" t="n">
        <x:f>Vehicles!I15</x:f>
        <x:v>3.338485316846986</x:v>
      </x:c>
      <x:c r="I19" s="104" t="n">
        <x:f>Vehicles!J15</x:f>
        <x:v>5.4</x:v>
      </x:c>
      <x:c r="J19" s="94" t="n">
        <x:f>Vehicles!K15</x:f>
        <x:v>130</x:v>
      </x:c>
      <x:c r="K19" s="100" t="str">
        <x:f>IF(ISNUMBER(Vehicles!L15),IF(Vehicles!L15&gt;0,Vehicles!L15,"") ,"")</x:f>
      </x:c>
      <x:c r="L19" s="94" t="str">
        <x:f>Vehicles!N15&amp;" · group E139"</x:f>
        <x:v>Price E59–60 · battery E61 · range E62 · 0–60 E63 · DC E64 · stock E65 · group E139</x:v>
      </x:c>
      <x:c r="M19" s="94" t="str">
        <x:f>Vehicles!M15</x:f>
        <x:v>Required figures sourced. Check wheel-specific range on the chosen VIN.</x:v>
      </x:c>
      <x:c r="N19" s="94" t="str">
        <x:v>BMW Group</x:v>
      </x:c>
      <x:c r="O19" s="98" t="n">
        <x:v>35</x:v>
      </x:c>
      <x:c r="P19" s="263" t="n">
        <x:f>IF(COUNT(O19,'Part 3 Break-Even'!$B$15,'Part 3 Break-Even'!$B$19)=3,O19/100*'Part 3 Break-Even'!$B$15*'Part 3 Break-Even'!$B$19,"")</x:f>
        <x:v>853.6398360000001</x:v>
      </x:c>
      <x:c r="Q19" s="265" t="inlineStr">
        <x:is>
          <x:t xml:space="preserve">EPA vehicle record</x:t>
        </x:is>
      </x:c>
    </x:row>
    <x:row r="20" ht="55" customHeight="1">
      <x:c r="A20" s="92" t="str">
        <x:f>Vehicles!B18</x:f>
        <x:v>Volkswagen</x:v>
      </x:c>
      <x:c r="B20" s="92" t="str">
        <x:f>Vehicles!C18</x:f>
        <x:v>ID.4</x:v>
      </x:c>
      <x:c r="C20" s="92" t="n">
        <x:f>Vehicles!D18</x:f>
        <x:v>2026</x:v>
      </x:c>
      <x:c r="D20" s="92" t="str">
        <x:f>Vehicles!E18</x:f>
        <x:v>Pro RWD</x:v>
      </x:c>
      <x:c r="E20" s="101" t="n">
        <x:f>Vehicles!F18</x:f>
        <x:v>46570</x:v>
      </x:c>
      <x:c r="F20" s="93" t="n">
        <x:f>Vehicles!G18</x:f>
        <x:v>82</x:v>
      </x:c>
      <x:c r="G20" s="92" t="n">
        <x:f>Vehicles!H18</x:f>
        <x:v>291</x:v>
      </x:c>
      <x:c r="H20" s="103" t="n">
        <x:f>Vehicles!I18</x:f>
        <x:v>3.548780487804878</x:v>
      </x:c>
      <x:c r="I20" s="97" t="n">
        <x:f>Vehicles!J18</x:f>
        <x:v>5.9</x:v>
      </x:c>
      <x:c r="J20" s="92" t="n">
        <x:f>Vehicles!K18</x:f>
        <x:v>175</x:v>
      </x:c>
      <x:c r="K20" s="193" t="str">
        <x:f>IF(ISNUMBER(Vehicles!L18),IF(Vehicles!L18&gt;0,Vehicles!L18,"") ,"")</x:f>
      </x:c>
      <x:c r="L20" s="92" t="str">
        <x:f>Vehicles!N18</x:f>
        <x:v>Price E82 · battery E83 · range E84 · 0–60 E85 · DC E86 · stock E87</x:v>
      </x:c>
      <x:c r="M20" s="92" t="str">
        <x:f>Vehicles!M18</x:f>
        <x:v>Required figures sourced. KBB 0–60 figure has unspecified test provenance.</x:v>
      </x:c>
      <x:c r="N20" s="92" t="str">
        <x:v>Volkswagen Group</x:v>
      </x:c>
      <x:c r="O20" s="192" t="n">
        <x:v>30</x:v>
      </x:c>
      <x:c r="P20" s="262" t="n">
        <x:f>IF(COUNT(O20,'Part 3 Break-Even'!$B$15,'Part 3 Break-Even'!$B$19)=3,O20/100*'Part 3 Break-Even'!$B$15*'Part 3 Break-Even'!$B$19,"")</x:f>
        <x:v>731.6912880000001</x:v>
      </x:c>
      <x:c r="Q20" s="264" t="inlineStr">
        <x:is>
          <x:t xml:space="preserve">EPA vehicle record</x:t>
        </x:is>
      </x:c>
    </x:row>
    <x:row r="21" ht="55" customHeight="1">
      <x:c r="A21" s="94" t="str">
        <x:f>Vehicles!B19</x:f>
        <x:v>Ford</x:v>
      </x:c>
      <x:c r="B21" s="94" t="str">
        <x:f>Vehicles!C19</x:f>
        <x:v>Mustang Mach-E</x:v>
      </x:c>
      <x:c r="C21" s="94" t="n">
        <x:f>Vehicles!D19</x:f>
        <x:v>2026</x:v>
      </x:c>
      <x:c r="D21" s="94" t="str">
        <x:f>Vehicles!E19</x:f>
        <x:v>Premium RWD Extended Range</x:v>
      </x:c>
      <x:c r="E21" s="102" t="n">
        <x:f>Vehicles!F19</x:f>
        <x:v>47390</x:v>
      </x:c>
      <x:c r="F21" s="100" t="n">
        <x:f>Vehicles!G19</x:f>
        <x:v>88</x:v>
      </x:c>
      <x:c r="G21" s="94" t="n">
        <x:f>Vehicles!H19</x:f>
        <x:v>320</x:v>
      </x:c>
      <x:c r="H21" s="100" t="n">
        <x:f>Vehicles!I19</x:f>
        <x:v>3.6363636363636362</x:v>
      </x:c>
      <x:c r="I21" s="95" t="n">
        <x:f>Vehicles!J19</x:f>
        <x:v>5.4</x:v>
      </x:c>
      <x:c r="J21" s="94" t="n">
        <x:f>Vehicles!K19</x:f>
        <x:v>150</x:v>
      </x:c>
      <x:c r="K21" s="100" t="str">
        <x:f>IF(ISNUMBER(Vehicles!L19),IF(Vehicles!L19&gt;0,Vehicles!L19,"") ,"")</x:f>
      </x:c>
      <x:c r="L21" s="94" t="str">
        <x:f>Vehicles!N19</x:f>
        <x:v>Price E88–90 · battery E91 · range E92 · 0–60 E93 · DC E94 · stock E95</x:v>
      </x:c>
      <x:c r="M21" s="94" t="str">
        <x:f>Vehicles!M19</x:f>
        <x:v>Required figures sourced. Price includes extended battery and freight. New California listing.</x:v>
      </x:c>
      <x:c r="N21" s="94" t="str">
        <x:v>Ford Motor Company</x:v>
      </x:c>
      <x:c r="O21" s="98" t="n">
        <x:v>31</x:v>
      </x:c>
      <x:c r="P21" s="263" t="n">
        <x:f>IF(COUNT(O21,'Part 3 Break-Even'!$B$15,'Part 3 Break-Even'!$B$19)=3,O21/100*'Part 3 Break-Even'!$B$15*'Part 3 Break-Even'!$B$19,"")</x:f>
        <x:v>756.0809976</x:v>
      </x:c>
      <x:c r="Q21" s="265" t="inlineStr">
        <x:is>
          <x:t xml:space="preserve">EPA vehicle record</x:t>
        </x:is>
      </x:c>
    </x:row>
    <x:row r="22" ht="55" customHeight="1">
      <x:c r="A22" s="92" t="str">
        <x:f>Vehicles!B21</x:f>
        <x:v>Lexus</x:v>
      </x:c>
      <x:c r="B22" s="92" t="str">
        <x:f>Vehicles!C21</x:f>
        <x:v>RZ</x:v>
      </x:c>
      <x:c r="C22" s="92" t="n">
        <x:f>Vehicles!D21</x:f>
        <x:v>2026</x:v>
      </x:c>
      <x:c r="D22" s="92" t="str">
        <x:f>Vehicles!E21</x:f>
        <x:v>350e FWD (18 in)</x:v>
      </x:c>
      <x:c r="E22" s="101" t="n">
        <x:f>Vehicles!F21</x:f>
        <x:v>47395</x:v>
      </x:c>
      <x:c r="F22" s="93" t="n">
        <x:f>Vehicles!G21</x:f>
        <x:v>74.69</x:v>
      </x:c>
      <x:c r="G22" s="92" t="n">
        <x:f>Vehicles!H21</x:f>
        <x:v>301</x:v>
      </x:c>
      <x:c r="H22" s="103" t="n">
        <x:f>Vehicles!I21</x:f>
        <x:v>4.029990627928773</x:v>
      </x:c>
      <x:c r="I22" s="104" t="n">
        <x:f>Vehicles!J21</x:f>
        <x:v>7.2</x:v>
      </x:c>
      <x:c r="J22" s="92" t="n">
        <x:f>Vehicles!K21</x:f>
        <x:v>150</x:v>
      </x:c>
      <x:c r="K22" s="193" t="str">
        <x:f>IF(ISNUMBER(Vehicles!L21),IF(Vehicles!L21&gt;0,Vehicles!L21,"") ,"")</x:f>
      </x:c>
      <x:c r="L22" s="92" t="str">
        <x:f>Vehicles!N21&amp;" · group E137"</x:f>
        <x:v>Price E103 · battery E104 · range E105 · 0–60 E106 · DC E107 · stock E108 · group E137</x:v>
      </x:c>
      <x:c r="M22" s="92" t="str">
        <x:f>Vehicles!M21</x:f>
        <x:v>Required specs sourced. EPA rating for 18-inch wheels. New U.S. listing found.</x:v>
      </x:c>
      <x:c r="N22" s="92" t="str">
        <x:v>Toyota Motor Corporation</x:v>
      </x:c>
      <x:c r="O22" s="192" t="n">
        <x:v>27</x:v>
      </x:c>
      <x:c r="P22" s="262" t="n">
        <x:f>IF(COUNT(O22,'Part 3 Break-Even'!$B$15,'Part 3 Break-Even'!$B$19)=3,O22/100*'Part 3 Break-Even'!$B$15*'Part 3 Break-Even'!$B$19,"")</x:f>
        <x:v>658.5221592000001</x:v>
      </x:c>
      <x:c r="Q22" s="264" t="inlineStr">
        <x:is>
          <x:t xml:space="preserve">EPA vehicle record</x:t>
        </x:is>
      </x:c>
    </x:row>
    <x:row r="23" ht="55" customHeight="1">
      <x:c r="A23" s="190" t="str">
        <x:f>Vehicles!B23</x:f>
        <x:v>Mercedes-Benz</x:v>
      </x:c>
      <x:c r="B23" s="190" t="str">
        <x:f>Vehicles!C23</x:f>
        <x:v>Electric CLA</x:v>
      </x:c>
      <x:c r="C23" s="190" t="n">
        <x:f>Vehicles!D23</x:f>
        <x:v>2027</x:v>
      </x:c>
      <x:c r="D23" s="190" t="str">
        <x:f>Vehicles!E23</x:f>
        <x:v>250+ RWD</x:v>
      </x:c>
      <x:c r="E23" s="191" t="n">
        <x:f>Vehicles!F23</x:f>
        <x:v>49400</x:v>
      </x:c>
      <x:c r="F23" s="192" t="n">
        <x:f>Vehicles!G23</x:f>
        <x:v>85</x:v>
      </x:c>
      <x:c r="G23" s="190" t="n">
        <x:f>Vehicles!H23</x:f>
        <x:v>374</x:v>
      </x:c>
      <x:c r="H23" s="193" t="n">
        <x:f>Vehicles!I23</x:f>
        <x:v>4.4</x:v>
      </x:c>
      <x:c r="I23" s="194" t="n">
        <x:f>Vehicles!J23</x:f>
        <x:v>6.6</x:v>
      </x:c>
      <x:c r="J23" s="190" t="n">
        <x:f>Vehicles!K23</x:f>
        <x:v>320</x:v>
      </x:c>
      <x:c r="K23" s="193" t="str">
        <x:f>IF(ISNUMBER(Vehicles!L23),IF(Vehicles!L23&gt;0,Vehicles!L23,"") ,"")</x:f>
      </x:c>
      <x:c r="L23" s="190" t="str">
        <x:f>Vehicles!N23</x:f>
        <x:v>Price E127–E128 · battery E129 · range E130 · 0–60 E131 · DC E132 · stock E133 · size E136</x:v>
      </x:c>
      <x:c r="M23" s="190" t="str">
        <x:f>Vehicles!M23</x:f>
        <x:v>Mercedes-Benz estimates 0–60. Compact sedan with San Jose listing.</x:v>
      </x:c>
      <x:c r="N23" s="190" t="str">
        <x:v>Mercedes-Benz Group</x:v>
      </x:c>
      <x:c r="O23" s="192" t="n">
        <x:v>27</x:v>
      </x:c>
      <x:c r="P23" s="262" t="n">
        <x:f>IF(COUNT(O23,'Part 3 Break-Even'!$B$15,'Part 3 Break-Even'!$B$19)=3,O23/100*'Part 3 Break-Even'!$B$15*'Part 3 Break-Even'!$B$19,"")</x:f>
        <x:v>658.5221592000001</x:v>
      </x:c>
      <x:c r="Q23" s="264" t="inlineStr">
        <x:is>
          <x:t xml:space="preserve">EPA vehicle record</x:t>
        </x:is>
      </x:c>
    </x:row>
    <x:row r="24" ht="22" customHeight="1">
      <x:c r="A24" s="74" t="str">
        <x:v>Group convention counts Lexus with Toyota and Kia with Hyundai. Toyota’s stake in Subaru is a minority holding (E134).</x:v>
      </x:c>
      <x:c r="B24" s="74"/>
      <x:c r="C24" s="74"/>
      <x:c r="D24" s="74"/>
      <x:c r="E24" s="74"/>
      <x:c r="F24" s="74"/>
      <x:c r="G24" s="74"/>
      <x:c r="H24" s="74"/>
      <x:c r="I24" s="74"/>
      <x:c r="J24" s="74"/>
      <x:c r="K24" s="74"/>
      <x:c r="L24" s="74"/>
      <x:c r="M24" s="74"/>
      <x:c r="N24" s="74"/>
    </x:row>
  </x:sheetData>
  <x:mergeCells>
    <x:mergeCell ref="A2:N2"/>
    <x:mergeCell ref="A3:N3"/>
    <x:mergeCell ref="A4:N4"/>
    <x:mergeCell ref="A5:N5"/>
    <x:mergeCell ref="A6:N6"/>
    <x:mergeCell ref="A24:N24"/>
  </x:mergeCells>
  <x:hyperlinks>
    <x:hyperlink xmlns:r="http://schemas.openxmlformats.org/officeDocument/2006/relationships" ref="Q8" r:id="Rad38f1749fe44b4d"/>
    <x:hyperlink xmlns:r="http://schemas.openxmlformats.org/officeDocument/2006/relationships" ref="Q9" r:id="R441ee23194f34e0c"/>
    <x:hyperlink xmlns:r="http://schemas.openxmlformats.org/officeDocument/2006/relationships" ref="Q10" r:id="Rbf3f5bcbf68f46a3"/>
    <x:hyperlink xmlns:r="http://schemas.openxmlformats.org/officeDocument/2006/relationships" ref="Q11" r:id="R217667b31832447a"/>
    <x:hyperlink xmlns:r="http://schemas.openxmlformats.org/officeDocument/2006/relationships" ref="Q12" r:id="Ra0ebd67241f24b59"/>
    <x:hyperlink xmlns:r="http://schemas.openxmlformats.org/officeDocument/2006/relationships" ref="Q13" r:id="Re83c24518e454d54"/>
    <x:hyperlink xmlns:r="http://schemas.openxmlformats.org/officeDocument/2006/relationships" ref="Q14" r:id="R7415e63527324fdd"/>
    <x:hyperlink xmlns:r="http://schemas.openxmlformats.org/officeDocument/2006/relationships" ref="Q15" r:id="R33a4c9d1134a469b"/>
    <x:hyperlink xmlns:r="http://schemas.openxmlformats.org/officeDocument/2006/relationships" ref="Q16" r:id="R78c91a6acf5546b0"/>
    <x:hyperlink xmlns:r="http://schemas.openxmlformats.org/officeDocument/2006/relationships" ref="Q17" r:id="R0a7b9788b6d642de"/>
    <x:hyperlink xmlns:r="http://schemas.openxmlformats.org/officeDocument/2006/relationships" ref="Q18" r:id="R53d82c3b3e824d03"/>
    <x:hyperlink xmlns:r="http://schemas.openxmlformats.org/officeDocument/2006/relationships" ref="Q19" r:id="Red4e8514744a4228"/>
    <x:hyperlink xmlns:r="http://schemas.openxmlformats.org/officeDocument/2006/relationships" ref="Q20" r:id="Re928bdd82fe944f4"/>
    <x:hyperlink xmlns:r="http://schemas.openxmlformats.org/officeDocument/2006/relationships" ref="Q21" r:id="Rea66c2cf8e0740bd"/>
    <x:hyperlink xmlns:r="http://schemas.openxmlformats.org/officeDocument/2006/relationships" ref="Q22" r:id="R7940fee64fa54fa1"/>
    <x:hyperlink xmlns:r="http://schemas.openxmlformats.org/officeDocument/2006/relationships" ref="Q23" r:id="R3b0e83aa078b4b89"/>
  </x:hyperlink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243754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5" hidden="0" customWidth="1"/>
    <x:col min="2" max="2" width="18.6299991607666" hidden="0" customWidth="1"/>
    <x:col min="3" max="3" width="7.630000114440918" hidden="0" customWidth="1"/>
    <x:col min="4" max="4" width="17.5" hidden="0" customWidth="1"/>
    <x:col min="5" max="5" width="12.380000114440918" hidden="0" customWidth="1"/>
    <x:col min="6" max="6" width="10.25" hidden="0" customWidth="1"/>
    <x:col min="7" max="7" width="10.380000114440918" hidden="0" customWidth="1"/>
    <x:col min="8" max="8" width="9.5" hidden="0" customWidth="1"/>
    <x:col min="9" max="9" width="11.25" hidden="0" customWidth="1"/>
    <x:col min="10" max="10" width="10.380000114440918" hidden="0" customWidth="1"/>
    <x:col min="11" max="11" width="10.880000114440918" hidden="0" customWidth="1"/>
    <x:col min="12" max="12" width="12.380000114440918" hidden="0" customWidth="1"/>
    <x:col min="13" max="13" width="13.380000114440918" hidden="0" customWidth="1"/>
    <x:col min="14" max="14" width="12.5" hidden="0" customWidth="1"/>
    <x:col min="15" max="15" width="13.5" hidden="0" customWidth="1"/>
    <x:col min="16" max="16" width="22.25" hidden="0" customWidth="1"/>
    <x:col min="17" max="17" width="47.5" hidden="0" customWidth="1"/>
    <x:col min="18" max="18" width="15.75" hidden="0" customWidth="1"/>
    <x:col min="19" max="19" width="15.75" hidden="0" customWidth="1"/>
    <x:col min="20" max="20" width="85" hidden="0" customWidth="1"/>
  </x:cols>
  <x:sheetData>
    <x:row r="2" ht="27" customHeight="1">
      <x:c r="A2" s="112" t="str">
        <x:v>Part 2  |  San José EV purchase incentives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>
      <x:c r="A3" s="7" t="str">
        <x:v>November 6, 2026 snapshot. Part 1 list prices including destination stand in for vehicle quotes. Taxes, fees and financing are excluded.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20" customHeight="1">
      <x:c r="A4" s="4" t="str">
        <x:v>Household size</x:v>
      </x:c>
      <x:c r="B4" s="4"/>
      <x:c r="C4" s="4"/>
      <x:c r="D4" s="118" t="n">
        <x:v>3</x:v>
      </x:c>
      <x:c r="E4" s="4" t="str">
        <x:v>P01. Income thresholds in this model are for a three-person household.</x:v>
      </x:c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</x:row>
    <x:row r="5" ht="20" customHeight="1">
      <x:c r="A5" s="4" t="str">
        <x:v>Household income</x:v>
      </x:c>
      <x:c r="B5" s="4"/>
      <x:c r="C5" s="4"/>
      <x:c r="D5" s="117" t="n">
        <x:v>60000</x:v>
      </x:c>
      <x:c r="E5" s="4" t="str">
        <x:v>P01. $60,000 assignment income is used as gross/total income for screening.</x:v>
      </x:c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</x:row>
    <x:row r="6" ht="20" customHeight="1">
      <x:c r="A6" s="4" t="str">
        <x:v>Corolla model year</x:v>
      </x:c>
      <x:c r="B6" s="4"/>
      <x:c r="C6" s="4"/>
      <x:c r="D6" s="116" t="n">
        <x:v>2009</x:v>
      </x:c>
      <x:c r="E6" s="4" t="str">
        <x:v>P01/P05/P19. 2026 minus 17 years implies about MY 2009. Check the title if known.</x:v>
      </x:c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</x:row>
    <x:row r="7" ht="20" customHeight="1">
      <x:c r="A7" s="4" t="str">
        <x:v>SJCE service</x:v>
      </x:c>
      <x:c r="B7" s="4"/>
      <x:c r="C7" s="4"/>
      <x:c r="D7" s="116" t="str">
        <x:v>Yes</x:v>
      </x:c>
      <x:c r="E7" s="4" t="str">
        <x:v>P13/P38. Assumes default SJCE generation and an available rebate code. Verify the electric bill.</x:v>
      </x:c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</x:row>
    <x:row r="8" ht="20" customHeight="1">
      <x:c r="A8" s="4" t="str">
        <x:v>First-time ZEV buyer</x:v>
      </x:c>
      <x:c r="B8" s="4"/>
      <x:c r="C8" s="4"/>
      <x:c r="D8" s="116" t="str">
        <x:v>Yes</x:v>
      </x:c>
      <x:c r="E8" s="4" t="str">
        <x:v>P01/P08. First EV in the assignment. Assumes the buyer can attest to no prior ZEV purchase or lease.</x:v>
      </x:c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</x:row>
    <x:row r="9" ht="20" customHeight="1">
      <x:c r="A9" s="4" t="str">
        <x:v>DAC tract verified</x:v>
      </x:c>
      <x:c r="B9" s="4"/>
      <x:c r="C9" s="4"/>
      <x:c r="D9" s="116" t="str">
        <x:v>No</x:v>
      </x:c>
      <x:c r="E9" s="4" t="str">
        <x:v>P04. Address/tract unknown. DAC enhancement requires separate verification and an eligible CCFA award.</x:v>
      </x:c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</x:row>
    <x:row r="10" ht="20" customHeight="1">
      <x:c r="A10" s="4" t="str">
        <x:v>CCFA preapproval</x:v>
      </x:c>
      <x:c r="B10" s="4"/>
      <x:c r="C10" s="4"/>
      <x:c r="D10" s="116" t="str">
        <x:v>No</x:v>
      </x:c>
      <x:c r="E10" s="4" t="str">
        <x:v>P05/P30. Base Corolla fails the model-year rule. Preapproval is required to model CCFA on an eligible car.</x:v>
      </x:c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</x:row>
    <x:row r="11" ht="20" customHeight="1">
      <x:c r="A11" s="4" t="str">
        <x:v>Corolla disposition</x:v>
      </x:c>
      <x:c r="B11" s="4"/>
      <x:c r="C11" s="4"/>
      <x:c r="D11" s="116" t="str">
        <x:v>Private sale</x:v>
      </x:c>
      <x:c r="E11" s="4" t="str">
        <x:v>P36. The assignment's $3,000 private sale is the default. Select one disposition only.</x:v>
      </x:c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</x:row>
    <x:row r="12" ht="20" customHeight="1">
      <x:c r="A12" s="4" t="str">
        <x:v>Use Yes for a pending offer only after verifying exact model year, qualifying list, same-seller redemption and actual cash price including add-ons.</x:v>
      </x:c>
      <x:c r="B12" s="4"/>
      <x:c r="C12" s="4"/>
      <x:c r="D12" s="4"/>
      <x:c r="E12" s="4" t="str">
        <x:v>Use the confirmation columns beside the affected model once its seller verifies the pending rebate.</x:v>
      </x:c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</x:row>
    <x:row r="13">
      <x:c r="A13" s="7" t="str">
        <x:v>Assignment assumption: eligible applications we submit are approved. Verify household, vehicle and seller eligibility before applying a rebate.</x:v>
      </x:c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</x:row>
    <x:row r="14">
      <x:c r="A14" s="7" t="str">
        <x:v>Net purchase price excludes Corolla disposal. The after-disposal column subtracts one set of proceeds. See Evidence for program conditions.</x:v>
      </x:c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</x:row>
    <x:row r="15" ht="33" customHeight="1">
      <x:c r="A15" s="123" t="str">
        <x:v>Make</x:v>
      </x:c>
      <x:c r="B15" s="123" t="str">
        <x:v>Model</x:v>
      </x:c>
      <x:c r="C15" s="123" t="str">
        <x:v>Year</x:v>
      </x:c>
      <x:c r="D15" s="123" t="str">
        <x:v>Trim / drive</x:v>
      </x:c>
      <x:c r="E15" s="123" t="str">
        <x:v>Part 1 list price</x:v>
      </x:c>
      <x:c r="F15" s="123" t="str">
        <x:v>Federal credit · P02</x:v>
      </x:c>
      <x:c r="G15" s="123" t="str">
        <x:v>CCFA · P03</x:v>
      </x:c>
      <x:c r="H15" s="123" t="str">
        <x:v>DAC · P04</x:v>
      </x:c>
      <x:c r="I15" s="123" t="str">
        <x:v>MyFirstEV · P08</x:v>
      </x:c>
      <x:c r="J15" s="123" t="str">
        <x:v>SJCE · P11</x:v>
      </x:c>
      <x:c r="K15" s="123" t="str">
        <x:v>Other OEM cash</x:v>
      </x:c>
      <x:c r="L15" s="123" t="str">
        <x:v>Purchase incentives</x:v>
      </x:c>
      <x:c r="M15" s="123" t="str">
        <x:v>Net purchase price</x:v>
      </x:c>
      <x:c r="N15" s="123" t="str">
        <x:v>Other scrappage</x:v>
      </x:c>
      <x:c r="O15" s="123" t="str">
        <x:v>After disposal</x:v>
      </x:c>
      <x:c r="P15" s="123" t="str">
        <x:v>Evidence IDs</x:v>
      </x:c>
      <x:c r="Q15" s="123" t="str">
        <x:v>Vehicle and dealer checks</x:v>
      </x:c>
      <x:c r="R15" s="123" t="str">
        <x:v>State offer confirmed?</x:v>
      </x:c>
      <x:c r="S15" s="123" t="str">
        <x:v>Pending SJCE confirmed?</x:v>
      </x:c>
      <x:c r="T15" s="12" t="str">
        <x:v>Net price rank</x:v>
      </x:c>
    </x:row>
    <x:row r="16" ht="43" customHeight="1">
      <x:c r="A16" s="124" t="str">
        <x:f>Vehicles!B7</x:f>
        <x:v>Chevrolet</x:v>
      </x:c>
      <x:c r="B16" s="124" t="str">
        <x:f>Vehicles!C7</x:f>
        <x:v>Bolt</x:v>
      </x:c>
      <x:c r="C16" s="124" t="n">
        <x:f>Vehicles!D7</x:f>
        <x:v>2027</x:v>
      </x:c>
      <x:c r="D16" s="128" t="str">
        <x:f>Vehicles!E7</x:f>
        <x:v>LT FWD</x:v>
      </x:c>
      <x:c r="E16" s="130" t="n">
        <x:f>Vehicles!F7</x:f>
        <x:v>28995</x:v>
      </x:c>
      <x:c r="F16" s="130" t="n">
        <x:f>Evidence!$D$146</x:f>
        <x:v>0</x:v>
      </x:c>
      <x:c r="G16" s="130" t="n">
        <x:f>IF(AND($D$11="CCFA",$D$10="Yes",$D$6&lt;=Evidence!$D$149,$D$5&lt;=Evidence!$D$150,E16&lt;=Evidence!$D$151),Evidence!$D$147,0)</x:f>
        <x:v>0</x:v>
      </x:c>
      <x:c r="H16" s="130" t="n">
        <x:f>IF(AND(G16&gt;0,$D$9="Yes"),Evidence!$D$148,0)</x:f>
        <x:v>0</x:v>
      </x:c>
      <x:c r="I16" s="188" t="n">
        <x:f>IF(AND($D$8="Yes",C16&gt;=Evidence!$D$183,E16&lt;=Evidence!$D$153,R16="Yes"),Evidence!$D$152,0)</x:f>
        <x:v>3500</x:v>
      </x:c>
      <x:c r="J16" s="130" t="n">
        <x:f>IF(AND($D$7="Yes",$D$5&lt;=Evidence!$D$157,E16&lt;Evidence!$D$156,TRUE),Evidence!$D$155,0)</x:f>
        <x:v>3000</x:v>
      </x:c>
      <x:c r="K16" s="130" t="n">
        <x:f>0</x:f>
        <x:v>0</x:v>
      </x:c>
      <x:c r="L16" s="130" t="n">
        <x:f>SUM(F16:K16)</x:f>
        <x:v>6500</x:v>
      </x:c>
      <x:c r="M16" s="135" t="n">
        <x:f>E16-L16</x:f>
        <x:v>22495</x:v>
      </x:c>
      <x:c r="N16" s="130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16" s="133" t="n">
        <x:f>M16-N16-IF($D$11="Private sale",Evidence!$D$180,0)</x:f>
        <x:v>19495</x:v>
      </x:c>
      <x:c r="P16" s="128" t="str">
        <x:v>P08/P10/P52/P57/P72</x:v>
      </x:c>
      <x:c r="Q16" s="128" t="str">
        <x:v>State yes · SJCE yes. Stevens Creek Chevrolet advertises $3,500 MyFirstEV on a 2027 Bolt LT and appears on the SJCE dealer roster (p. 2).</x:v>
      </x:c>
      <x:c r="R16" s="116" t="str">
        <x:v>Yes</x:v>
      </x:c>
      <x:c r="S16" s="4"/>
      <x:c r="T16" t="n">
        <x:f>COUNTIF($M$16:$M$31,"&lt;"&amp;M16)+COUNTIF($M$16:M16,M16)</x:f>
        <x:v>1</x:v>
      </x:c>
    </x:row>
    <x:row r="17" ht="43" customHeight="1">
      <x:c r="A17" s="127" t="str">
        <x:f>Vehicles!B10</x:f>
        <x:v>Subaru</x:v>
      </x:c>
      <x:c r="B17" s="127" t="str">
        <x:f>Vehicles!C10</x:f>
        <x:v>Uncharted</x:v>
      </x:c>
      <x:c r="C17" s="127" t="n">
        <x:f>Vehicles!D10</x:f>
        <x:v>2026</x:v>
      </x:c>
      <x:c r="D17" s="129" t="str">
        <x:f>Vehicles!E10</x:f>
        <x:v>Premium FWD</x:v>
      </x:c>
      <x:c r="E17" s="134" t="n">
        <x:f>Vehicles!F10</x:f>
        <x:v>36445</x:v>
      </x:c>
      <x:c r="F17" s="134" t="n">
        <x:f>Evidence!$D$146</x:f>
        <x:v>0</x:v>
      </x:c>
      <x:c r="G17" s="134" t="n">
        <x:f>IF(AND($D$11="CCFA",$D$10="Yes",$D$6&lt;=Evidence!$D$149,$D$5&lt;=Evidence!$D$150,E17&lt;=Evidence!$D$151),Evidence!$D$147,0)</x:f>
        <x:v>0</x:v>
      </x:c>
      <x:c r="H17" s="134" t="n">
        <x:f>IF(AND(G17&gt;0,$D$9="Yes"),Evidence!$D$148,0)</x:f>
        <x:v>0</x:v>
      </x:c>
      <x:c r="I17" s="134" t="n">
        <x:f>IF(AND($D$8="Yes",C17&gt;=Evidence!$D$183,E17&lt;=Evidence!$D$153,TRUE),Evidence!$D$152,0)</x:f>
        <x:v>3500</x:v>
      </x:c>
      <x:c r="J17" s="134" t="n">
        <x:f>IF(AND($D$7="Yes",$D$5&lt;=Evidence!$D$157,E17&lt;Evidence!$D$156,TRUE),Evidence!$D$155,0)</x:f>
        <x:v>3000</x:v>
      </x:c>
      <x:c r="K17" s="134" t="n">
        <x:f>0</x:f>
        <x:v>0</x:v>
      </x:c>
      <x:c r="L17" s="134" t="n">
        <x:f>SUM(F17:K17)</x:f>
        <x:v>6500</x:v>
      </x:c>
      <x:c r="M17" s="135" t="n">
        <x:f>E17-L17</x:f>
        <x:v>29945</x:v>
      </x:c>
      <x:c r="N17" s="134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17" s="133" t="n">
        <x:f>M17-N17-IF($D$11="Private sale",Evidence!$D$180,0)</x:f>
        <x:v>26945</x:v>
      </x:c>
      <x:c r="P17" s="129" t="str">
        <x:v>P10/P52/P58 · P41</x:v>
      </x:c>
      <x:c r="Q17" s="129" t="str">
        <x:v>State yes · SJCE yes. Subaru lists 2026+ Uncharted. Capitol Subaru (p. 1).</x:v>
      </x:c>
      <x:c r="R17" s="4"/>
      <x:c r="S17" s="4"/>
      <x:c r="T17" t="n">
        <x:f>COUNTIF($M$16:$M$31,"&lt;"&amp;M17)+COUNTIF($M$16:M17,M17)</x:f>
        <x:v>3</x:v>
      </x:c>
    </x:row>
    <x:row r="18" ht="62" customHeight="1">
      <x:c r="A18" s="124" t="str">
        <x:f>Vehicles!B6</x:f>
        <x:v>Chevrolet</x:v>
      </x:c>
      <x:c r="B18" s="124" t="str">
        <x:f>Vehicles!C6</x:f>
        <x:v>Equinox EV</x:v>
      </x:c>
      <x:c r="C18" s="124" t="n">
        <x:f>Vehicles!D6</x:f>
        <x:v>2026</x:v>
      </x:c>
      <x:c r="D18" s="128" t="str">
        <x:f>Vehicles!E6</x:f>
        <x:v>LT 1 FWD</x:v>
      </x:c>
      <x:c r="E18" s="130" t="n">
        <x:f>Vehicles!F6</x:f>
        <x:v>36795</x:v>
      </x:c>
      <x:c r="F18" s="130" t="n">
        <x:f>Evidence!$D$146</x:f>
        <x:v>0</x:v>
      </x:c>
      <x:c r="G18" s="130" t="n">
        <x:f>IF(AND($D$11="CCFA",$D$10="Yes",$D$6&lt;=Evidence!$D$149,$D$5&lt;=Evidence!$D$150,E18&lt;=Evidence!$D$151),Evidence!$D$147,0)</x:f>
        <x:v>0</x:v>
      </x:c>
      <x:c r="H18" s="130" t="n">
        <x:f>IF(AND(G18&gt;0,$D$9="Yes"),Evidence!$D$148,0)</x:f>
        <x:v>0</x:v>
      </x:c>
      <x:c r="I18" s="200" t="n">
        <x:f>IF(AND($D$8="Yes",C18&gt;=Evidence!$D$183,E18&lt;=Evidence!$D$153,R18="Yes"),Evidence!$D$152,0)</x:f>
        <x:v>3500</x:v>
      </x:c>
      <x:c r="J18" s="130" t="n">
        <x:f>IF(AND($D$7="Yes",$D$5&lt;=Evidence!$D$157,E18&lt;Evidence!$D$156,TRUE),Evidence!$D$155,0)</x:f>
        <x:v>3000</x:v>
      </x:c>
      <x:c r="K18" s="130" t="n">
        <x:f>0</x:f>
        <x:v>0</x:v>
      </x:c>
      <x:c r="L18" s="130" t="n">
        <x:f>SUM(F18:K18)</x:f>
        <x:v>6500</x:v>
      </x:c>
      <x:c r="M18" s="135" t="n">
        <x:f>E18-L18</x:f>
        <x:v>30295</x:v>
      </x:c>
      <x:c r="N18" s="130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18" s="133" t="n">
        <x:f>M18-N18-IF($D$11="Private sale",Evidence!$D$180,0)</x:f>
        <x:v>27295</x:v>
      </x:c>
      <x:c r="P18" s="128" t="str">
        <x:v>P10/P52/P59/P73</x:v>
      </x:c>
      <x:c r="Q18" s="128" t="str">
        <x:v>State and SJCE modeled. P73 shows $3,500 on matching LT 1 FWD at Stevens Creek Chevrolet (P52). VIN-specific discounts are separate.</x:v>
      </x:c>
      <x:c r="R18" s="116" t="str">
        <x:v>Yes</x:v>
      </x:c>
      <x:c r="S18" s="4"/>
      <x:c r="T18" t="n">
        <x:f>COUNTIF($M$16:$M$31,"&lt;"&amp;M18)+COUNTIF($M$16:M18,M18)</x:f>
        <x:v>4</x:v>
      </x:c>
    </x:row>
    <x:row r="19" ht="43" customHeight="1">
      <x:c r="A19" s="127" t="str">
        <x:f>Vehicles!B16</x:f>
        <x:v>Toyota</x:v>
      </x:c>
      <x:c r="B19" s="127" t="str">
        <x:f>Vehicles!C16</x:f>
        <x:v>C-HR</x:v>
      </x:c>
      <x:c r="C19" s="127" t="n">
        <x:f>Vehicles!D16</x:f>
        <x:v>2026</x:v>
      </x:c>
      <x:c r="D19" s="129" t="str">
        <x:f>Vehicles!E16</x:f>
        <x:v>SE AWD</x:v>
      </x:c>
      <x:c r="E19" s="134" t="n">
        <x:f>Vehicles!F16</x:f>
        <x:v>38595</x:v>
      </x:c>
      <x:c r="F19" s="134" t="n">
        <x:f>Evidence!$D$146</x:f>
        <x:v>0</x:v>
      </x:c>
      <x:c r="G19" s="134" t="n">
        <x:f>IF(AND($D$11="CCFA",$D$10="Yes",$D$6&lt;=Evidence!$D$149,$D$5&lt;=Evidence!$D$150,E19&lt;=Evidence!$D$151),Evidence!$D$147,0)</x:f>
        <x:v>0</x:v>
      </x:c>
      <x:c r="H19" s="134" t="n">
        <x:f>IF(AND(G19&gt;0,$D$9="Yes"),Evidence!$D$148,0)</x:f>
        <x:v>0</x:v>
      </x:c>
      <x:c r="I19" s="134" t="n">
        <x:f>IF(AND($D$8="Yes",C19&gt;=Evidence!$D$183,E19&lt;=Evidence!$D$153,TRUE),Evidence!$D$152,0)</x:f>
        <x:v>3500</x:v>
      </x:c>
      <x:c r="J19" s="134" t="n">
        <x:f>IF(AND($D$7="Yes",$D$5&lt;=Evidence!$D$157,E19&lt;Evidence!$D$156,TRUE),Evidence!$D$155,0)</x:f>
        <x:v>3000</x:v>
      </x:c>
      <x:c r="K19" s="134" t="n">
        <x:f>0</x:f>
        <x:v>0</x:v>
      </x:c>
      <x:c r="L19" s="134" t="n">
        <x:f>SUM(F19:K19)</x:f>
        <x:v>6500</x:v>
      </x:c>
      <x:c r="M19" s="135" t="n">
        <x:f>E19-L19</x:f>
        <x:v>32095</x:v>
      </x:c>
      <x:c r="N19" s="134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19" s="133" t="n">
        <x:f>M19-N19-IF($D$11="Private sale",Evidence!$D$180,0)</x:f>
        <x:v>29095</x:v>
      </x:c>
      <x:c r="P19" s="129" t="str">
        <x:v>P10/P52/P60 · P43</x:v>
      </x:c>
      <x:c r="Q19" s="129" t="str">
        <x:v>State yes · SJCE yes. Toyota lists both 2026 C-HR trims. Stevens Creek Toyota (p. 2).</x:v>
      </x:c>
      <x:c r="R19" s="4"/>
      <x:c r="S19" s="4"/>
      <x:c r="T19" t="n">
        <x:f>COUNTIF($M$16:$M$31,"&lt;"&amp;M19)+COUNTIF($M$16:M19,M19)</x:f>
        <x:v>5</x:v>
      </x:c>
    </x:row>
    <x:row r="20" ht="43" customHeight="1">
      <x:c r="A20" s="124" t="str">
        <x:f>Vehicles!B11</x:f>
        <x:v>Hyundai</x:v>
      </x:c>
      <x:c r="B20" s="124" t="str">
        <x:f>Vehicles!C11</x:f>
        <x:v>IONIQ 5</x:v>
      </x:c>
      <x:c r="C20" s="124" t="n">
        <x:f>Vehicles!D11</x:f>
        <x:v>2027</x:v>
      </x:c>
      <x:c r="D20" s="128" t="str">
        <x:f>Vehicles!E11</x:f>
        <x:v>SE Long Range RWD</x:v>
      </x:c>
      <x:c r="E20" s="130" t="n">
        <x:f>Vehicles!F11</x:f>
        <x:v>39400</x:v>
      </x:c>
      <x:c r="F20" s="130" t="n">
        <x:f>Evidence!$D$146</x:f>
        <x:v>0</x:v>
      </x:c>
      <x:c r="G20" s="130" t="n">
        <x:f>IF(AND($D$11="CCFA",$D$10="Yes",$D$6&lt;=Evidence!$D$149,$D$5&lt;=Evidence!$D$150,E20&lt;=Evidence!$D$151),Evidence!$D$147,0)</x:f>
        <x:v>0</x:v>
      </x:c>
      <x:c r="H20" s="130" t="n">
        <x:f>IF(AND(G20&gt;0,$D$9="Yes"),Evidence!$D$148,0)</x:f>
        <x:v>0</x:v>
      </x:c>
      <x:c r="I20" s="130" t="n">
        <x:f>IF(AND($D$8="Yes",C20&gt;=Evidence!$D$183,E20&lt;=Evidence!$D$153,TRUE),Evidence!$D$152,0)</x:f>
        <x:v>3500</x:v>
      </x:c>
      <x:c r="J20" s="130" t="n">
        <x:f>IF(AND($D$7="Yes",$D$5&lt;=Evidence!$D$157,E20&lt;Evidence!$D$156,TRUE),Evidence!$D$155,0)</x:f>
        <x:v>3000</x:v>
      </x:c>
      <x:c r="K20" s="130" t="n">
        <x:f>0</x:f>
        <x:v>0</x:v>
      </x:c>
      <x:c r="L20" s="130" t="n">
        <x:f>SUM(F20:K20)</x:f>
        <x:v>6500</x:v>
      </x:c>
      <x:c r="M20" s="135" t="n">
        <x:f>E20-L20</x:f>
        <x:v>32900</x:v>
      </x:c>
      <x:c r="N20" s="130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0" s="133" t="n">
        <x:f>M20-N20-IF($D$11="Private sale",Evidence!$D$180,0)</x:f>
        <x:v>29900</x:v>
      </x:c>
      <x:c r="P20" s="128" t="str">
        <x:v>P10/P52/P61 · P44</x:v>
      </x:c>
      <x:c r="Q20" s="128" t="str">
        <x:v>State yes · SJCE yes. California dealer lists MyFirstEV on the 2027 SE RWD. Capitol Hyundai (p. 1), Stevens Creek Hyundai (p. 2).</x:v>
      </x:c>
      <x:c r="R20" s="4"/>
      <x:c r="S20" s="4"/>
      <x:c r="T20" t="n">
        <x:f>COUNTIF($M$16:$M$31,"&lt;"&amp;M20)+COUNTIF($M$16:M20,M20)</x:f>
        <x:v>6</x:v>
      </x:c>
    </x:row>
    <x:row r="21" ht="43" customHeight="1">
      <x:c r="A21" s="127" t="str">
        <x:f>Vehicles!B12</x:f>
        <x:v>Toyota</x:v>
      </x:c>
      <x:c r="B21" s="127" t="str">
        <x:f>Vehicles!C12</x:f>
        <x:v>bZ</x:v>
      </x:c>
      <x:c r="C21" s="127" t="n">
        <x:f>Vehicles!D12</x:f>
        <x:v>2027</x:v>
      </x:c>
      <x:c r="D21" s="129" t="str">
        <x:f>Vehicles!E12</x:f>
        <x:v>XLE FWD Plus</x:v>
      </x:c>
      <x:c r="E21" s="134" t="n">
        <x:f>Vehicles!F12</x:f>
        <x:v>39575</x:v>
      </x:c>
      <x:c r="F21" s="134" t="n">
        <x:f>Evidence!$D$146</x:f>
        <x:v>0</x:v>
      </x:c>
      <x:c r="G21" s="134" t="n">
        <x:f>IF(AND($D$11="CCFA",$D$10="Yes",$D$6&lt;=Evidence!$D$149,$D$5&lt;=Evidence!$D$150,E21&lt;=Evidence!$D$151),Evidence!$D$147,0)</x:f>
        <x:v>0</x:v>
      </x:c>
      <x:c r="H21" s="134" t="n">
        <x:f>IF(AND(G21&gt;0,$D$9="Yes"),Evidence!$D$148,0)</x:f>
        <x:v>0</x:v>
      </x:c>
      <x:c r="I21" s="131" t="n">
        <x:f>IF(AND($D$8="Yes",C21&gt;=Evidence!$D$183,E21&lt;=Evidence!$D$153,R21="Yes"),Evidence!$D$152,0)</x:f>
        <x:v>0</x:v>
      </x:c>
      <x:c r="J21" s="131" t="n">
        <x:f>IF(AND($D$7="Yes",$D$5&lt;=Evidence!$D$157,E21&lt;Evidence!$D$156,S21="Yes"),Evidence!$D$155,0)</x:f>
        <x:v>0</x:v>
      </x:c>
      <x:c r="K21" s="134" t="n">
        <x:f>0</x:f>
        <x:v>0</x:v>
      </x:c>
      <x:c r="L21" s="134" t="n">
        <x:f>SUM(F21:K21)</x:f>
        <x:v>0</x:v>
      </x:c>
      <x:c r="M21" s="135" t="n">
        <x:f>E21-L21</x:f>
        <x:v>39575</x:v>
      </x:c>
      <x:c r="N21" s="134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1" s="133" t="n">
        <x:f>M21-N21-IF($D$11="Private sale",Evidence!$D$180,0)</x:f>
        <x:v>36575</x:v>
      </x:c>
      <x:c r="P21" s="129" t="str">
        <x:v>P10/P52/P62 · P45/P46</x:v>
      </x:c>
      <x:c r="Q21" s="129" t="str">
        <x:v>State pending · SJCE pending. SJCE list shows 2026 bZ but no 2027 bZ. Toyota's current exact-model MyFirstEV is unconfirmed. Stevens Creek Toyota (p. 2).</x:v>
      </x:c>
      <x:c r="R21" s="116" t="str">
        <x:v>No</x:v>
      </x:c>
      <x:c r="S21" s="116" t="str">
        <x:v>No</x:v>
      </x:c>
      <x:c r="T21" t="n">
        <x:f>COUNTIF($M$16:$M$31,"&lt;"&amp;M21)+COUNTIF($M$16:M21,M21)</x:f>
        <x:v>10</x:v>
      </x:c>
    </x:row>
    <x:row r="22" ht="43" customHeight="1">
      <x:c r="A22" s="124" t="str">
        <x:f>Vehicles!B22</x:f>
        <x:v>Subaru</x:v>
      </x:c>
      <x:c r="B22" s="124" t="str">
        <x:f>Vehicles!C22</x:f>
        <x:v>Solterra</x:v>
      </x:c>
      <x:c r="C22" s="124" t="n">
        <x:f>Vehicles!D22</x:f>
        <x:v>2026</x:v>
      </x:c>
      <x:c r="D22" s="128" t="str">
        <x:f>Vehicles!E22</x:f>
        <x:v>Premium AWD</x:v>
      </x:c>
      <x:c r="E22" s="130" t="n">
        <x:f>Vehicles!F22</x:f>
        <x:v>39945</x:v>
      </x:c>
      <x:c r="F22" s="130" t="n">
        <x:f>Evidence!$D$146</x:f>
        <x:v>0</x:v>
      </x:c>
      <x:c r="G22" s="130" t="n">
        <x:f>IF(AND($D$11="CCFA",$D$10="Yes",$D$6&lt;=Evidence!$D$149,$D$5&lt;=Evidence!$D$150,E22&lt;=Evidence!$D$151),Evidence!$D$147,0)</x:f>
        <x:v>0</x:v>
      </x:c>
      <x:c r="H22" s="130" t="n">
        <x:f>IF(AND(G22&gt;0,$D$9="Yes"),Evidence!$D$148,0)</x:f>
        <x:v>0</x:v>
      </x:c>
      <x:c r="I22" s="130" t="n">
        <x:f>IF(AND($D$8="Yes",C22&gt;=Evidence!$D$183,E22&lt;=Evidence!$D$153,TRUE),Evidence!$D$152,0)</x:f>
        <x:v>3500</x:v>
      </x:c>
      <x:c r="J22" s="130" t="n">
        <x:f>IF(AND($D$7="Yes",$D$5&lt;=Evidence!$D$157,E22&lt;Evidence!$D$156,TRUE),Evidence!$D$155,0)</x:f>
        <x:v>3000</x:v>
      </x:c>
      <x:c r="K22" s="130" t="n">
        <x:f>0</x:f>
        <x:v>0</x:v>
      </x:c>
      <x:c r="L22" s="130" t="n">
        <x:f>SUM(F22:K22)</x:f>
        <x:v>6500</x:v>
      </x:c>
      <x:c r="M22" s="135" t="n">
        <x:f>E22-L22</x:f>
        <x:v>33445</x:v>
      </x:c>
      <x:c r="N22" s="130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2" s="133" t="n">
        <x:f>M22-N22-IF($D$11="Private sale",Evidence!$D$180,0)</x:f>
        <x:v>30445</x:v>
      </x:c>
      <x:c r="P22" s="128" t="str">
        <x:v>P10/P52/P63 · P41</x:v>
      </x:c>
      <x:c r="Q22" s="128" t="str">
        <x:v>State yes · SJCE yes. Subaru lists 2026+ Solterra. Capitol Subaru (p. 1).</x:v>
      </x:c>
      <x:c r="R22" s="4"/>
      <x:c r="S22" s="4"/>
      <x:c r="T22" t="n">
        <x:f>COUNTIF($M$16:$M$31,"&lt;"&amp;M22)+COUNTIF($M$16:M22,M22)</x:f>
        <x:v>7</x:v>
      </x:c>
    </x:row>
    <x:row r="23" ht="43" customHeight="1">
      <x:c r="A23" s="127" t="str">
        <x:f>Vehicles!B13</x:f>
        <x:v>Volvo</x:v>
      </x:c>
      <x:c r="B23" s="127" t="str">
        <x:f>Vehicles!C13</x:f>
        <x:v>EX30</x:v>
      </x:c>
      <x:c r="C23" s="127" t="n">
        <x:f>Vehicles!D13</x:f>
        <x:v>2026</x:v>
      </x:c>
      <x:c r="D23" s="129" t="str">
        <x:f>Vehicles!E13</x:f>
        <x:v>Plus Single Motor RWD</x:v>
      </x:c>
      <x:c r="E23" s="134" t="n">
        <x:f>Vehicles!F13</x:f>
        <x:v>40345</x:v>
      </x:c>
      <x:c r="F23" s="134" t="n">
        <x:f>Evidence!$D$146</x:f>
        <x:v>0</x:v>
      </x:c>
      <x:c r="G23" s="134" t="n">
        <x:f>IF(AND($D$11="CCFA",$D$10="Yes",$D$6&lt;=Evidence!$D$149,$D$5&lt;=Evidence!$D$150,E23&lt;=Evidence!$D$151),Evidence!$D$147,0)</x:f>
        <x:v>0</x:v>
      </x:c>
      <x:c r="H23" s="134" t="n">
        <x:f>IF(AND(G23&gt;0,$D$9="Yes"),Evidence!$D$148,0)</x:f>
        <x:v>0</x:v>
      </x:c>
      <x:c r="I23" s="134" t="n">
        <x:f>IF(AND($D$8="Yes",C23&gt;=Evidence!$D$183,E23&lt;=Evidence!$D$153,TRUE),Evidence!$D$152,0)</x:f>
        <x:v>3500</x:v>
      </x:c>
      <x:c r="J23" s="131" t="n">
        <x:f>IF(AND($D$7="Yes",$D$5&lt;=Evidence!$D$157,E23&lt;Evidence!$D$156,S23="Yes"),Evidence!$D$155,0)</x:f>
        <x:v>0</x:v>
      </x:c>
      <x:c r="K23" s="134" t="n">
        <x:f>0</x:f>
        <x:v>0</x:v>
      </x:c>
      <x:c r="L23" s="134" t="n">
        <x:f>SUM(F23:K23)</x:f>
        <x:v>3500</x:v>
      </x:c>
      <x:c r="M23" s="135" t="n">
        <x:f>E23-L23</x:f>
        <x:v>36845</x:v>
      </x:c>
      <x:c r="N23" s="134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3" s="133" t="n">
        <x:f>M23-N23-IF($D$11="Private sale",Evidence!$D$180,0)</x:f>
        <x:v>33845</x:v>
      </x:c>
      <x:c r="P23" s="129" t="str">
        <x:v>P10/P52/P64 · P47</x:v>
      </x:c>
      <x:c r="Q23" s="129" t="str">
        <x:v>State yes · SJCE pending. 2026 EX30 listed by SJCE. Participating dealer for new Volvo unconfirmed. No Volvo franchise identified on dealer roster.</x:v>
      </x:c>
      <x:c r="R23" s="4"/>
      <x:c r="S23" s="116" t="str">
        <x:v>No</x:v>
      </x:c>
      <x:c r="T23" t="n">
        <x:f>COUNTIF($M$16:$M$31,"&lt;"&amp;M23)+COUNTIF($M$16:M23,M23)</x:f>
        <x:v>9</x:v>
      </x:c>
    </x:row>
    <x:row r="24" ht="43" customHeight="1">
      <x:c r="A24" s="124" t="str">
        <x:f>Vehicles!B20</x:f>
        <x:v>Kia</x:v>
      </x:c>
      <x:c r="B24" s="124" t="str">
        <x:f>Vehicles!C20</x:f>
        <x:v>EV6</x:v>
      </x:c>
      <x:c r="C24" s="124" t="n">
        <x:f>Vehicles!D20</x:f>
        <x:v>2026</x:v>
      </x:c>
      <x:c r="D24" s="128" t="str">
        <x:f>Vehicles!E20</x:f>
        <x:v>Light Long Range RWD</x:v>
      </x:c>
      <x:c r="E24" s="130" t="n">
        <x:f>Vehicles!F20</x:f>
        <x:v>42745</x:v>
      </x:c>
      <x:c r="F24" s="130" t="n">
        <x:f>Evidence!$D$146</x:f>
        <x:v>0</x:v>
      </x:c>
      <x:c r="G24" s="130" t="n">
        <x:f>IF(AND($D$11="CCFA",$D$10="Yes",$D$6&lt;=Evidence!$D$149,$D$5&lt;=Evidence!$D$150,E24&lt;=Evidence!$D$151),Evidence!$D$147,0)</x:f>
        <x:v>0</x:v>
      </x:c>
      <x:c r="H24" s="130" t="n">
        <x:f>IF(AND(G24&gt;0,$D$9="Yes"),Evidence!$D$148,0)</x:f>
        <x:v>0</x:v>
      </x:c>
      <x:c r="I24" s="130" t="n">
        <x:f>IF(AND($D$8="Yes",C24&gt;=Evidence!$D$183,E24&lt;=Evidence!$D$153,TRUE),Evidence!$D$152,0)</x:f>
        <x:v>3500</x:v>
      </x:c>
      <x:c r="J24" s="130" t="n">
        <x:f>IF(AND($D$7="Yes",$D$5&lt;=Evidence!$D$157,E24&lt;Evidence!$D$156,TRUE),Evidence!$D$155,0)</x:f>
        <x:v>3000</x:v>
      </x:c>
      <x:c r="K24" s="130" t="n">
        <x:f>0</x:f>
        <x:v>0</x:v>
      </x:c>
      <x:c r="L24" s="130" t="n">
        <x:f>SUM(F24:K24)</x:f>
        <x:v>6500</x:v>
      </x:c>
      <x:c r="M24" s="135" t="n">
        <x:f>E24-L24</x:f>
        <x:v>36245</x:v>
      </x:c>
      <x:c r="N24" s="130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4" s="133" t="n">
        <x:f>M24-N24-IF($D$11="Private sale",Evidence!$D$180,0)</x:f>
        <x:v>33245</x:v>
      </x:c>
      <x:c r="P24" s="128" t="str">
        <x:v>P10/P52/P65 · P48</x:v>
      </x:c>
      <x:c r="Q24" s="128" t="str">
        <x:v>State yes · SJCE yes. 2026 EV6 offer verified. Separate Kia Cash held out pending stack. Capitol Kia (p. 1), Stevens Creek Kia (p. 2).</x:v>
      </x:c>
      <x:c r="R24" s="4"/>
      <x:c r="S24" s="4"/>
      <x:c r="T24" t="n">
        <x:f>COUNTIF($M$16:$M$31,"&lt;"&amp;M24)+COUNTIF($M$16:M24,M24)</x:f>
        <x:v>8</x:v>
      </x:c>
    </x:row>
    <x:row r="25" ht="43" customHeight="1">
      <x:c r="A25" s="127" t="str">
        <x:f>Vehicles!B14</x:f>
        <x:v>Tesla</x:v>
      </x:c>
      <x:c r="B25" s="127" t="str">
        <x:f>Vehicles!C14</x:f>
        <x:v>Model 3</x:v>
      </x:c>
      <x:c r="C25" s="127" t="n">
        <x:f>Vehicles!D14</x:f>
        <x:v>2026</x:v>
      </x:c>
      <x:c r="D25" s="129" t="str">
        <x:f>Vehicles!E14</x:f>
        <x:v>Premium RWD</x:v>
      </x:c>
      <x:c r="E25" s="134" t="n">
        <x:f>Vehicles!F14</x:f>
        <x:v>43880</x:v>
      </x:c>
      <x:c r="F25" s="134" t="n">
        <x:f>Evidence!$D$146</x:f>
        <x:v>0</x:v>
      </x:c>
      <x:c r="G25" s="134" t="n">
        <x:f>IF(AND($D$11="CCFA",$D$10="Yes",$D$6&lt;=Evidence!$D$149,$D$5&lt;=Evidence!$D$150,E25&lt;=Evidence!$D$151),Evidence!$D$147,0)</x:f>
        <x:v>0</x:v>
      </x:c>
      <x:c r="H25" s="134" t="n">
        <x:f>IF(AND(G25&gt;0,$D$9="Yes"),Evidence!$D$148,0)</x:f>
        <x:v>0</x:v>
      </x:c>
      <x:c r="I25" s="134" t="n">
        <x:f>IF(AND($D$8="Yes",C25&gt;=Evidence!$D$183,E25&lt;=Evidence!$D$153,FALSE),Evidence!$D$152,0)</x:f>
        <x:v>0</x:v>
      </x:c>
      <x:c r="J25" s="134" t="n">
        <x:f>IF(AND($D$7="Yes",$D$5&lt;=Evidence!$D$157,E25&lt;Evidence!$D$156,TRUE),Evidence!$D$155,0)</x:f>
        <x:v>3000</x:v>
      </x:c>
      <x:c r="K25" s="134" t="n">
        <x:f>0</x:f>
        <x:v>0</x:v>
      </x:c>
      <x:c r="L25" s="134" t="n">
        <x:f>SUM(F25:K25)</x:f>
        <x:v>3000</x:v>
      </x:c>
      <x:c r="M25" s="135" t="n">
        <x:f>E25-L25</x:f>
        <x:v>40880</x:v>
      </x:c>
      <x:c r="N25" s="134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5" s="133" t="n">
        <x:f>M25-N25-IF($D$11="Private sale",Evidence!$D$180,0)</x:f>
        <x:v>37880</x:v>
      </x:c>
      <x:c r="P25" s="129" t="str">
        <x:v>P10/P52/P66 · P10</x:v>
      </x:c>
      <x:c r="Q25" s="129" t="str">
        <x:v>State no · SJCE yes. CARB lists Tesla funds exhausted. City dealer roster includes Tesla. Tesla, multiple locations (p. 2).</x:v>
      </x:c>
      <x:c r="R25" s="4"/>
      <x:c r="S25" s="4"/>
      <x:c r="T25" t="n">
        <x:f>COUNTIF($M$16:$M$31,"&lt;"&amp;M25)+COUNTIF($M$16:M25,M25)</x:f>
        <x:v>11</x:v>
      </x:c>
    </x:row>
    <x:row r="26" ht="43" customHeight="1">
      <x:c r="A26" s="124" t="str">
        <x:f>Vehicles!B15</x:f>
        <x:v>MINI</x:v>
      </x:c>
      <x:c r="B26" s="124" t="str">
        <x:f>Vehicles!C15</x:f>
        <x:v>Countryman Electric</x:v>
      </x:c>
      <x:c r="C26" s="124" t="n">
        <x:f>Vehicles!D15</x:f>
        <x:v>2027</x:v>
      </x:c>
      <x:c r="D26" s="128" t="str">
        <x:f>Vehicles!E15</x:f>
        <x:v>SE ALL4 Signature Plus</x:v>
      </x:c>
      <x:c r="E26" s="130" t="n">
        <x:f>Vehicles!F15</x:f>
        <x:v>46550</x:v>
      </x:c>
      <x:c r="F26" s="130" t="n">
        <x:f>Evidence!$D$146</x:f>
        <x:v>0</x:v>
      </x:c>
      <x:c r="G26" s="130" t="n">
        <x:f>IF(AND($D$11="CCFA",$D$10="Yes",$D$6&lt;=Evidence!$D$149,$D$5&lt;=Evidence!$D$150,E26&lt;=Evidence!$D$151),Evidence!$D$147,0)</x:f>
        <x:v>0</x:v>
      </x:c>
      <x:c r="H26" s="130" t="n">
        <x:f>IF(AND(G26&gt;0,$D$9="Yes"),Evidence!$D$148,0)</x:f>
        <x:v>0</x:v>
      </x:c>
      <x:c r="I26" s="130" t="n">
        <x:f>IF(AND($D$8="Yes",C26&gt;=Evidence!$D$183,E26&lt;=Evidence!$D$153,FALSE),Evidence!$D$152,0)</x:f>
        <x:v>0</x:v>
      </x:c>
      <x:c r="J26" s="131" t="n">
        <x:f>IF(AND($D$7="Yes",$D$5&lt;=Evidence!$D$157,E26&lt;Evidence!$D$156,S26="Yes"),Evidence!$D$155,0)</x:f>
        <x:v>0</x:v>
      </x:c>
      <x:c r="K26" s="130" t="n">
        <x:f>0</x:f>
        <x:v>0</x:v>
      </x:c>
      <x:c r="L26" s="130" t="n">
        <x:f>SUM(F26:K26)</x:f>
        <x:v>0</x:v>
      </x:c>
      <x:c r="M26" s="135" t="n">
        <x:f>E26-L26</x:f>
        <x:v>46550</x:v>
      </x:c>
      <x:c r="N26" s="130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6" s="133" t="n">
        <x:f>M26-N26-IF($D$11="Private sale",Evidence!$D$180,0)</x:f>
        <x:v>43550</x:v>
      </x:c>
      <x:c r="P26" s="128" t="str">
        <x:v>P10/P52/P67 · P10</x:v>
      </x:c>
      <x:c r="Q26" s="128" t="str">
        <x:v>State no · SJCE pending. MINI is absent from the CARB list. Verify BMW dealer can redeem for a new MINI. Stevens Creek BMW (p. 2); MINI eligibility unconfirmed.</x:v>
      </x:c>
      <x:c r="R26" s="4"/>
      <x:c r="S26" s="116" t="str">
        <x:v>No</x:v>
      </x:c>
      <x:c r="T26" t="n">
        <x:f>COUNTIF($M$16:$M$31,"&lt;"&amp;M26)+COUNTIF($M$16:M26,M26)</x:f>
        <x:v>15</x:v>
      </x:c>
    </x:row>
    <x:row r="27" ht="43" customHeight="1">
      <x:c r="A27" s="127" t="str">
        <x:f>Vehicles!B18</x:f>
        <x:v>Volkswagen</x:v>
      </x:c>
      <x:c r="B27" s="127" t="str">
        <x:f>Vehicles!C18</x:f>
        <x:v>ID.4</x:v>
      </x:c>
      <x:c r="C27" s="127" t="n">
        <x:f>Vehicles!D18</x:f>
        <x:v>2026</x:v>
      </x:c>
      <x:c r="D27" s="129" t="str">
        <x:f>Vehicles!E18</x:f>
        <x:v>Pro RWD</x:v>
      </x:c>
      <x:c r="E27" s="134" t="n">
        <x:f>Vehicles!F18</x:f>
        <x:v>46570</x:v>
      </x:c>
      <x:c r="F27" s="134" t="n">
        <x:f>Evidence!$D$146</x:f>
        <x:v>0</x:v>
      </x:c>
      <x:c r="G27" s="134" t="n">
        <x:f>IF(AND($D$11="CCFA",$D$10="Yes",$D$6&lt;=Evidence!$D$149,$D$5&lt;=Evidence!$D$150,E27&lt;=Evidence!$D$151),Evidence!$D$147,0)</x:f>
        <x:v>0</x:v>
      </x:c>
      <x:c r="H27" s="134" t="n">
        <x:f>IF(AND(G27&gt;0,$D$9="Yes"),Evidence!$D$148,0)</x:f>
        <x:v>0</x:v>
      </x:c>
      <x:c r="I27" s="134" t="n">
        <x:f>IF(AND($D$8="Yes",C27&gt;=Evidence!$D$183,E27&lt;=Evidence!$D$153,FALSE),Evidence!$D$152,0)</x:f>
        <x:v>0</x:v>
      </x:c>
      <x:c r="J27" s="134" t="n">
        <x:f>IF(AND($D$7="Yes",$D$5&lt;=Evidence!$D$157,E27&lt;Evidence!$D$156,TRUE),Evidence!$D$155,0)</x:f>
        <x:v>3000</x:v>
      </x:c>
      <x:c r="K27" s="134" t="n">
        <x:f>0</x:f>
        <x:v>0</x:v>
      </x:c>
      <x:c r="L27" s="134" t="n">
        <x:f>SUM(F27:K27)</x:f>
        <x:v>3000</x:v>
      </x:c>
      <x:c r="M27" s="135" t="n">
        <x:f>E27-L27</x:f>
        <x:v>43570</x:v>
      </x:c>
      <x:c r="N27" s="134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7" s="133" t="n">
        <x:f>M27-N27-IF($D$11="Private sale",Evidence!$D$180,0)</x:f>
        <x:v>40570</x:v>
      </x:c>
      <x:c r="P27" s="129" t="str">
        <x:v>P10/P52/P68 · P10</x:v>
      </x:c>
      <x:c r="Q27" s="129" t="str">
        <x:v>State no · SJCE yes. Volkswagen is absent from the CARB list. Capitol Volkswagen (p. 1).</x:v>
      </x:c>
      <x:c r="R27" s="4"/>
      <x:c r="S27" s="4"/>
      <x:c r="T27" t="n">
        <x:f>COUNTIF($M$16:$M$31,"&lt;"&amp;M27)+COUNTIF($M$16:M27,M27)</x:f>
        <x:v>13</x:v>
      </x:c>
    </x:row>
    <x:row r="28" ht="43" customHeight="1">
      <x:c r="A28" s="124" t="str">
        <x:f>Vehicles!B19</x:f>
        <x:v>Ford</x:v>
      </x:c>
      <x:c r="B28" s="124" t="str">
        <x:f>Vehicles!C19</x:f>
        <x:v>Mustang Mach-E</x:v>
      </x:c>
      <x:c r="C28" s="124" t="n">
        <x:f>Vehicles!D19</x:f>
        <x:v>2026</x:v>
      </x:c>
      <x:c r="D28" s="128" t="str">
        <x:f>Vehicles!E19</x:f>
        <x:v>Premium RWD Extended Range</x:v>
      </x:c>
      <x:c r="E28" s="130" t="n">
        <x:f>Vehicles!F19</x:f>
        <x:v>47390</x:v>
      </x:c>
      <x:c r="F28" s="130" t="n">
        <x:f>Evidence!$D$146</x:f>
        <x:v>0</x:v>
      </x:c>
      <x:c r="G28" s="130" t="n">
        <x:f>IF(AND($D$11="CCFA",$D$10="Yes",$D$6&lt;=Evidence!$D$149,$D$5&lt;=Evidence!$D$150,E28&lt;=Evidence!$D$151),Evidence!$D$147,0)</x:f>
        <x:v>0</x:v>
      </x:c>
      <x:c r="H28" s="130" t="n">
        <x:f>IF(AND(G28&gt;0,$D$9="Yes"),Evidence!$D$148,0)</x:f>
        <x:v>0</x:v>
      </x:c>
      <x:c r="I28" s="130" t="n">
        <x:f>IF(AND($D$8="Yes",C28&gt;=Evidence!$D$183,E28&lt;=Evidence!$D$153,TRUE),Evidence!$D$152,0)</x:f>
        <x:v>3500</x:v>
      </x:c>
      <x:c r="J28" s="130" t="n">
        <x:f>IF(AND($D$7="Yes",$D$5&lt;=Evidence!$D$157,E28&lt;Evidence!$D$156,TRUE),Evidence!$D$155,0)</x:f>
        <x:v>3000</x:v>
      </x:c>
      <x:c r="K28" s="130" t="n">
        <x:f>0</x:f>
        <x:v>0</x:v>
      </x:c>
      <x:c r="L28" s="130" t="n">
        <x:f>SUM(F28:K28)</x:f>
        <x:v>6500</x:v>
      </x:c>
      <x:c r="M28" s="135" t="n">
        <x:f>E28-L28</x:f>
        <x:v>40890</x:v>
      </x:c>
      <x:c r="N28" s="130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8" s="133" t="n">
        <x:f>M28-N28-IF($D$11="Private sale",Evidence!$D$180,0)</x:f>
        <x:v>37890</x:v>
      </x:c>
      <x:c r="P28" s="128" t="str">
        <x:v>P10/P52/P69 · P49/P50</x:v>
      </x:c>
      <x:c r="Q28" s="128" t="str">
        <x:v>State yes · SJCE yes. 2026 Mach-E verified. Do not combine with Retail Customer Cash. Capitol Ford (p. 1), Sunnyvale Ford (p. 2).</x:v>
      </x:c>
      <x:c r="R28" s="4"/>
      <x:c r="S28" s="4"/>
      <x:c r="T28" t="n">
        <x:f>COUNTIF($M$16:$M$31,"&lt;"&amp;M28)+COUNTIF($M$16:M28,M28)</x:f>
        <x:v>12</x:v>
      </x:c>
    </x:row>
    <x:row r="29" ht="43" customHeight="1">
      <x:c r="A29" s="127" t="str">
        <x:f>Vehicles!B21</x:f>
        <x:v>Lexus</x:v>
      </x:c>
      <x:c r="B29" s="127" t="str">
        <x:f>Vehicles!C21</x:f>
        <x:v>RZ</x:v>
      </x:c>
      <x:c r="C29" s="127" t="n">
        <x:f>Vehicles!D21</x:f>
        <x:v>2026</x:v>
      </x:c>
      <x:c r="D29" s="129" t="str">
        <x:f>Vehicles!E21</x:f>
        <x:v>350e FWD (18 in)</x:v>
      </x:c>
      <x:c r="E29" s="134" t="n">
        <x:f>Vehicles!F21</x:f>
        <x:v>47395</x:v>
      </x:c>
      <x:c r="F29" s="134" t="n">
        <x:f>Evidence!$D$146</x:f>
        <x:v>0</x:v>
      </x:c>
      <x:c r="G29" s="134" t="n">
        <x:f>IF(AND($D$11="CCFA",$D$10="Yes",$D$6&lt;=Evidence!$D$149,$D$5&lt;=Evidence!$D$150,E29&lt;=Evidence!$D$151),Evidence!$D$147,0)</x:f>
        <x:v>0</x:v>
      </x:c>
      <x:c r="H29" s="134" t="n">
        <x:f>IF(AND(G29&gt;0,$D$9="Yes"),Evidence!$D$148,0)</x:f>
        <x:v>0</x:v>
      </x:c>
      <x:c r="I29" s="134" t="n">
        <x:f>IF(AND($D$8="Yes",C29&gt;=Evidence!$D$183,E29&lt;=Evidence!$D$153,TRUE),Evidence!$D$152,0)</x:f>
        <x:v>3500</x:v>
      </x:c>
      <x:c r="J29" s="131" t="n">
        <x:f>IF(AND($D$7="Yes",$D$5&lt;=Evidence!$D$157,E29&lt;Evidence!$D$156,S29="Yes"),Evidence!$D$155,0)</x:f>
        <x:v>0</x:v>
      </x:c>
      <x:c r="K29" s="134" t="n">
        <x:f>0</x:f>
        <x:v>0</x:v>
      </x:c>
      <x:c r="L29" s="134" t="n">
        <x:f>SUM(F29:K29)</x:f>
        <x:v>3500</x:v>
      </x:c>
      <x:c r="M29" s="135" t="n">
        <x:f>E29-L29</x:f>
        <x:v>43895</x:v>
      </x:c>
      <x:c r="N29" s="134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29" s="133" t="n">
        <x:f>M29-N29-IF($D$11="Private sale",Evidence!$D$180,0)</x:f>
        <x:v>40895</x:v>
      </x:c>
      <x:c r="P29" s="129" t="str">
        <x:v>P10/P52/P70 · P51</x:v>
      </x:c>
      <x:c r="Q29" s="129" t="str">
        <x:v>State yes · SJCE pending. New RZ on city list. Lexus dealer for city rebate unconfirmed. No Lexus franchise identified on dealer roster.</x:v>
      </x:c>
      <x:c r="R29" s="4"/>
      <x:c r="S29" s="116" t="str">
        <x:v>No</x:v>
      </x:c>
      <x:c r="T29" t="n">
        <x:f>COUNTIF($M$16:$M$31,"&lt;"&amp;M29)+COUNTIF($M$16:M29,M29)</x:f>
        <x:v>14</x:v>
      </x:c>
    </x:row>
    <x:row r="30" ht="43" customHeight="1">
      <x:c r="A30" s="124" t="str">
        <x:f>Vehicles!B23</x:f>
        <x:v>Mercedes-Benz</x:v>
      </x:c>
      <x:c r="B30" s="124" t="str">
        <x:f>Vehicles!C23</x:f>
        <x:v>Electric CLA</x:v>
      </x:c>
      <x:c r="C30" s="124" t="n">
        <x:f>Vehicles!D23</x:f>
        <x:v>2027</x:v>
      </x:c>
      <x:c r="D30" s="128" t="str">
        <x:f>Vehicles!E23</x:f>
        <x:v>250+ RWD</x:v>
      </x:c>
      <x:c r="E30" s="130" t="n">
        <x:f>Vehicles!F23</x:f>
        <x:v>49400</x:v>
      </x:c>
      <x:c r="F30" s="130" t="n">
        <x:f>Evidence!$D$146</x:f>
        <x:v>0</x:v>
      </x:c>
      <x:c r="G30" s="130" t="n">
        <x:f>IF(AND($D$11="CCFA",$D$10="Yes",$D$6&lt;=Evidence!$D$149,$D$5&lt;=Evidence!$D$150,E30&lt;=Evidence!$D$151),Evidence!$D$147,0)</x:f>
        <x:v>0</x:v>
      </x:c>
      <x:c r="H30" s="130" t="n">
        <x:f>IF(AND(G30&gt;0,$D$9="Yes"),Evidence!$D$148,0)</x:f>
        <x:v>0</x:v>
      </x:c>
      <x:c r="I30" s="130" t="n">
        <x:f>IF(AND($D$8="Yes",C30&gt;=Evidence!$D$183,E30&lt;=Evidence!$D$153,FALSE),Evidence!$D$152,0)</x:f>
        <x:v>0</x:v>
      </x:c>
      <x:c r="J30" s="131" t="n">
        <x:f>IF(AND($D$7="Yes",$D$5&lt;=Evidence!$D$157,E30&lt;Evidence!$D$156,S30="Yes"),Evidence!$D$155,0)</x:f>
        <x:v>0</x:v>
      </x:c>
      <x:c r="K30" s="130" t="n">
        <x:f>0</x:f>
        <x:v>0</x:v>
      </x:c>
      <x:c r="L30" s="130" t="n">
        <x:f>SUM(F30:K30)</x:f>
        <x:v>0</x:v>
      </x:c>
      <x:c r="M30" s="135" t="n">
        <x:f>E30-L30</x:f>
        <x:v>49400</x:v>
      </x:c>
      <x:c r="N30" s="130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30" s="133" t="n">
        <x:f>M30-N30-IF($D$11="Private sale",Evidence!$D$180,0)</x:f>
        <x:v>46400</x:v>
      </x:c>
      <x:c r="P30" s="128" t="str">
        <x:v>P10/P52/P71 · P10</x:v>
      </x:c>
      <x:c r="Q30" s="128" t="str">
        <x:v>State no · SJCE pending. Mercedes-Benz absent from CARB list. City dealer unconfirmed, cash price near cap. No Mercedes-Benz franchise identified on dealer roster.</x:v>
      </x:c>
      <x:c r="R30" s="4"/>
      <x:c r="S30" s="116" t="str">
        <x:v>No</x:v>
      </x:c>
      <x:c r="T30" t="n">
        <x:f>COUNTIF($M$16:$M$31,"&lt;"&amp;M30)+COUNTIF($M$16:M30,M30)</x:f>
        <x:v>16</x:v>
      </x:c>
    </x:row>
    <x:row r="31" ht="62" customHeight="1">
      <x:c r="A31" s="195" t="str">
        <x:f>Vehicles!B8</x:f>
        <x:v>Nissan</x:v>
      </x:c>
      <x:c r="B31" s="195" t="str">
        <x:f>Vehicles!C8</x:f>
        <x:v>LEAF</x:v>
      </x:c>
      <x:c r="C31" s="195" t="n">
        <x:f>Vehicles!D8</x:f>
        <x:v>2026</x:v>
      </x:c>
      <x:c r="D31" s="37" t="str">
        <x:f>Vehicles!E8</x:f>
        <x:v>S+ FWD</x:v>
      </x:c>
      <x:c r="E31" s="196" t="n">
        <x:f>Vehicles!F8</x:f>
        <x:v>31535</x:v>
      </x:c>
      <x:c r="F31" s="196" t="n">
        <x:f>Evidence!$D$146</x:f>
        <x:v>0</x:v>
      </x:c>
      <x:c r="G31" s="196" t="n">
        <x:f>IF(AND($D$11="CCFA",$D$10="Yes",$D$6&lt;=Evidence!$D$149,$D$5&lt;=Evidence!$D$150,E31&lt;=Evidence!$D$151),Evidence!$D$147,0)</x:f>
        <x:v>0</x:v>
      </x:c>
      <x:c r="H31" s="196" t="n">
        <x:f>IF(AND(G31&gt;0,$D$9="Yes"),Evidence!$D$148,0)</x:f>
        <x:v>0</x:v>
      </x:c>
      <x:c r="I31" s="201" t="n">
        <x:f>IF(AND($D$8="Yes",C31&gt;=Evidence!$D$183,E31&lt;=Evidence!$D$153,R31="Yes"),Evidence!$D$152,0)</x:f>
        <x:v>0</x:v>
      </x:c>
      <x:c r="J31" s="196" t="n">
        <x:f>IF(AND($D$7="Yes",$D$5&lt;=Evidence!$D$157,E31&lt;Evidence!$D$156,TRUE),Evidence!$D$155,0)</x:f>
        <x:v>3000</x:v>
      </x:c>
      <x:c r="K31" s="196" t="n">
        <x:f>0</x:f>
        <x:v>0</x:v>
      </x:c>
      <x:c r="L31" s="196" t="n">
        <x:f>SUM(F31:K31)</x:f>
        <x:v>3000</x:v>
      </x:c>
      <x:c r="M31" s="197" t="n">
        <x:f>E31-L31</x:f>
        <x:v>28535</x:v>
      </x:c>
      <x:c r="N31" s="196" t="n">
        <x:f>IF($D$11="CAP failed test (no income test)",Evidence!$D$199,IF(AND($D$5&lt;=Evidence!$D$161,$D$11="CAP recent test"),Evidence!$D$159,IF(AND($D$5&lt;=Evidence!$D$161,$D$11="CAP failed test"),Evidence!$D$160,IF(AND($D$11="Vehicle Buy Back",$D$6&lt;=Evidence!$D$163),Evidence!$D$162,0))))</x:f>
        <x:v>0</x:v>
      </x:c>
      <x:c r="O31" s="198" t="n">
        <x:f>M31-N31-IF($D$11="Private sale",Evidence!$D$180,0)</x:f>
        <x:v>25535</x:v>
      </x:c>
      <x:c r="P31" s="37" t="str">
        <x:v>E17/P10/P52/P74/P75</x:v>
      </x:c>
      <x:c r="Q31" s="37" t="str">
        <x:v>SJCE yes at Capitol Nissan. MyFirstEV advertised on an S+ at a different seller. Confirm both at one seller before setting R31 to Yes.</x:v>
      </x:c>
      <x:c r="R31" s="202" t="str">
        <x:v>No</x:v>
      </x:c>
      <x:c r="S31" s="4"/>
      <x:c r="T31" t="n">
        <x:f>COUNTIF($M$16:$M$31,"&lt;"&amp;M31)+COUNTIF($M$16:M31,M31)</x:f>
        <x:v>2</x:v>
      </x:c>
    </x:row>
    <x:row r="32">
      <x:c r="A32" s="4" t="str">
        <x:v>Other purchase incentives at $0 in this case. See P20–P24/P31–P34. P25–P29/P35 contain charger and operating programs for Part 3.</x:v>
      </x:c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</x:row>
    <x:row r="33">
      <x:c r="A33" s="4" t="str">
        <x:v>Other OEM cash is excluded from the list-price comparison. P48/P50/P51/P56 track separate cash offers. Compare verified offers separately when they cannot stack.</x:v>
      </x:c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</x:row>
    <x:row r="34">
      <x:c r="A34" s="4" t="str">
        <x:v>Yellow household and confirmation cells are editable. Yellow rebate cells indicate pending evidence. Enter Yes for a model only after confirming its pending rebate.</x:v>
      </x:c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</x:row>
  </x:sheetData>
  <x:dataValidations count="14">
    <x:dataValidation type="list" sqref="D7">
      <x:formula1>"Yes,No"</x:formula1>
    </x:dataValidation>
    <x:dataValidation type="list" sqref="D8">
      <x:formula1>"Yes,No"</x:formula1>
    </x:dataValidation>
    <x:dataValidation type="list" sqref="D9">
      <x:formula1>"Yes,No"</x:formula1>
    </x:dataValidation>
    <x:dataValidation type="list" sqref="D10">
      <x:formula1>"Yes,No"</x:formula1>
    </x:dataValidation>
    <x:dataValidation type="list" sqref="D11">
      <x:formula1>"None,CAP recent test,CAP failed test,CAP failed test (no income test),Vehicle Buy Back,Private sale,CCFA"</x:formula1>
    </x:dataValidation>
    <x:dataValidation type="list" sqref="R16">
      <x:formula1>"Yes,No"</x:formula1>
    </x:dataValidation>
    <x:dataValidation type="list" sqref="R18">
      <x:formula1>"Yes,No"</x:formula1>
    </x:dataValidation>
    <x:dataValidation type="list" sqref="R21">
      <x:formula1>"Yes,No"</x:formula1>
    </x:dataValidation>
    <x:dataValidation type="list" sqref="S21">
      <x:formula1>"Yes,No"</x:formula1>
    </x:dataValidation>
    <x:dataValidation type="list" sqref="S23">
      <x:formula1>"Yes,No"</x:formula1>
    </x:dataValidation>
    <x:dataValidation type="list" sqref="S26">
      <x:formula1>"Yes,No"</x:formula1>
    </x:dataValidation>
    <x:dataValidation type="list" sqref="S29">
      <x:formula1>"Yes,No"</x:formula1>
    </x:dataValidation>
    <x:dataValidation type="list" sqref="S30">
      <x:formula1>"Yes,No"</x:formula1>
    </x:dataValidation>
    <x:dataValidation type="list" sqref="R31">
      <x:formula1>"Yes,No"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243754"/>
  </x:sheetPr>
  <x:sheetViews>
    <x:sheetView showGridLines="0" workbookViewId="0"/>
  </x:sheetViews>
  <x:sheetFormatPr defaultRowHeight="15"/>
  <x:cols>
    <x:col min="1" max="1" width="32.5" hidden="0" customWidth="1"/>
    <x:col min="2" max="2" width="17.5" hidden="0" customWidth="1"/>
    <x:col min="3" max="3" width="18.1299991607666" hidden="0" customWidth="1"/>
    <x:col min="4" max="4" width="18.25" hidden="0" customWidth="1"/>
    <x:col min="5" max="5" width="20" hidden="0" customWidth="1"/>
    <x:col min="6" max="6" width="20.6299991607666" hidden="0" customWidth="1"/>
  </x:cols>
  <x:sheetData>
    <x:row r="2" ht="27" customHeight="1">
      <x:c r="A2" s="112" t="str">
        <x:v>Part 2  |  Best value for the household</x:v>
      </x:c>
      <x:c r="B2" s="4"/>
      <x:c r="C2" s="4"/>
      <x:c r="D2" s="4"/>
      <x:c r="E2" s="4"/>
      <x:c r="F2" s="4"/>
    </x:row>
    <x:row r="3">
      <x:c r="A3" s="7" t="str">
        <x:v>Ranks all 16 models by modeled net purchase price. Ties follow incentive-table order. The paragraph describes the November 6 base case.</x:v>
      </x:c>
      <x:c r="B3" s="4"/>
      <x:c r="C3" s="4"/>
      <x:c r="D3" s="4"/>
      <x:c r="E3" s="4"/>
      <x:c r="F3" s="4"/>
    </x:row>
    <x:row r="4">
      <x:c r="A4" s="4"/>
      <x:c r="B4" s="4"/>
      <x:c r="C4" s="4"/>
      <x:c r="D4" s="4"/>
      <x:c r="E4" s="4"/>
      <x:c r="F4" s="4"/>
    </x:row>
    <x:row r="5" ht="33" customHeight="1">
      <x:c r="A5" s="123" t="str">
        <x:v>Model</x:v>
      </x:c>
      <x:c r="B5" s="123" t="str">
        <x:v>List price</x:v>
      </x:c>
      <x:c r="C5" s="123" t="str">
        <x:v>Net purchase price</x:v>
      </x:c>
      <x:c r="D5" s="123" t="str">
        <x:v>EPA range (mi)</x:v>
      </x:c>
      <x:c r="E5" s="12" t="str">
        <x:v>Net price rank</x:v>
      </x:c>
      <x:c r="F5" s="203" t="str"/>
    </x:row>
    <x:row r="6" ht="24" customHeight="1">
      <x:c r="A6" s="4" t="str">
        <x:f>INDEX('Part 2 Incentives'!A16:A31,F6)&amp;" "&amp;INDEX('Part 2 Incentives'!B16:B31,F6)</x:f>
        <x:v>Chevrolet Bolt</x:v>
      </x:c>
      <x:c r="B6" s="17" t="n">
        <x:f>INDEX('Part 2 Incentives'!E16:E31,F6)</x:f>
        <x:v>28995</x:v>
      </x:c>
      <x:c r="C6" s="135" t="n">
        <x:f>SMALL('Part 2 Incentives'!$M$16:$M$31,E6)</x:f>
        <x:v>22495</x:v>
      </x:c>
      <x:c r="D6" s="4" t="n">
        <x:f>INDEX('Part 1 Comparison'!G8:G23,MATCH(INDEX('Part 2 Incentives'!B16:B31,F6),'Part 1 Comparison'!B8:B23,0))</x:f>
        <x:v>262</x:v>
      </x:c>
      <x:c r="E6" s="4" t="n">
        <x:v>1</x:v>
      </x:c>
      <x:c r="F6" s="203" t="n">
        <x:f>MATCH(E6,'Part 2 Incentives'!$T$16:$T$31,0)</x:f>
        <x:v>1</x:v>
      </x:c>
    </x:row>
    <x:row r="7" ht="24" customHeight="1">
      <x:c r="A7" s="4" t="str">
        <x:f>INDEX('Part 2 Incentives'!A16:A31,F7)&amp;" "&amp;INDEX('Part 2 Incentives'!B16:B31,F7)</x:f>
        <x:v>Nissan LEAF</x:v>
      </x:c>
      <x:c r="B7" s="17" t="n">
        <x:f>INDEX('Part 2 Incentives'!E16:E31,F7)</x:f>
        <x:v>31535</x:v>
      </x:c>
      <x:c r="C7" s="135" t="n">
        <x:f>SMALL('Part 2 Incentives'!$M$16:$M$31,E7)</x:f>
        <x:v>28535</x:v>
      </x:c>
      <x:c r="D7" s="4" t="n">
        <x:f>INDEX('Part 1 Comparison'!G8:G23,MATCH(INDEX('Part 2 Incentives'!B16:B31,F7),'Part 1 Comparison'!B8:B23,0))</x:f>
        <x:v>303</x:v>
      </x:c>
      <x:c r="E7" s="4" t="n">
        <x:v>2</x:v>
      </x:c>
      <x:c r="F7" s="203" t="n">
        <x:f>MATCH(E7,'Part 2 Incentives'!$T$16:$T$31,0)</x:f>
        <x:v>16</x:v>
      </x:c>
    </x:row>
    <x:row r="8" ht="24" customHeight="1">
      <x:c r="A8" s="4" t="str">
        <x:f>INDEX('Part 2 Incentives'!A16:A31,F8)&amp;" "&amp;INDEX('Part 2 Incentives'!B16:B31,F8)</x:f>
        <x:v>Subaru Uncharted</x:v>
      </x:c>
      <x:c r="B8" s="17" t="n">
        <x:f>INDEX('Part 2 Incentives'!E16:E31,F8)</x:f>
        <x:v>36445</x:v>
      </x:c>
      <x:c r="C8" s="135" t="n">
        <x:f>SMALL('Part 2 Incentives'!$M$16:$M$31,E8)</x:f>
        <x:v>29945</x:v>
      </x:c>
      <x:c r="D8" s="4" t="n">
        <x:f>INDEX('Part 1 Comparison'!G8:G23,MATCH(INDEX('Part 2 Incentives'!B16:B31,F8),'Part 1 Comparison'!B8:B23,0))</x:f>
        <x:v>308</x:v>
      </x:c>
      <x:c r="E8" s="4" t="n">
        <x:v>3</x:v>
      </x:c>
      <x:c r="F8" s="203" t="n">
        <x:f>MATCH(E8,'Part 2 Incentives'!$T$16:$T$31,0)</x:f>
        <x:v>2</x:v>
      </x:c>
    </x:row>
    <x:row r="9">
      <x:c r="A9" s="136" t="str">
        <x:v>Best value in the base case</x:v>
      </x:c>
      <x:c r="B9" s="4"/>
      <x:c r="C9" s="4"/>
      <x:c r="D9" s="4"/>
      <x:c r="E9" s="4"/>
      <x:c r="F9" s="4"/>
    </x:row>
    <x:row r="10" ht="76" customHeight="1">
      <x:c r="A10" s="13" t="str">
        <x:v>The 2027 Chevrolet Bolt LT FWD offers the best value in the base case. At $22,495 after $6,500 in state and city rebates, it delivers 262 miles of EPA range and 150 kW rated fast charging. The LEAF S+ offers 303 miles for $28,535 with SJCE alone, or $25,035 if both rebates can be redeemed at one seller. The Uncharted offers 308 miles for $29,945. The extra range of either alternative costs more than the Bolt.</x:v>
      </x:c>
      <x:c r="B10" s="13"/>
      <x:c r="C10" s="13"/>
      <x:c r="D10" s="13"/>
      <x:c r="E10" s="13"/>
      <x:c r="F10" s="13"/>
    </x:row>
    <x:row r="11">
      <x:c r="A11" s="4"/>
      <x:c r="B11" s="4"/>
      <x:c r="C11" s="4"/>
      <x:c r="D11" s="4"/>
      <x:c r="E11" s="4"/>
      <x:c r="F11" s="4"/>
    </x:row>
    <x:row r="12">
      <x:c r="A12" s="136" t="str">
        <x:v>Source trail</x:v>
      </x:c>
      <x:c r="B12" s="4"/>
      <x:c r="C12" s="4"/>
      <x:c r="D12" s="4"/>
      <x:c r="E12" s="4"/>
      <x:c r="F12" s="4"/>
    </x:row>
    <x:row r="13">
      <x:c r="A13" s="4" t="str">
        <x:v>Bolt E05/E07/E09 and P57/P72. LEAF E12–E18 and P74/P75. Uncharted E28–E31 and P41/P58. See Evidence for source links.</x:v>
      </x:c>
      <x:c r="B13" s="4"/>
      <x:c r="C13" s="4"/>
      <x:c r="D13" s="4"/>
      <x:c r="E13" s="4"/>
      <x:c r="F13" s="4"/>
    </x:row>
    <x:row r="14">
      <x:c r="A14" s="4" t="str">
        <x:v>The Bolt price assumes both rebates at the same seller. The table below isolates advertised VIN-specific discounts.</x:v>
      </x:c>
      <x:c r="B14" s="4"/>
      <x:c r="C14" s="4"/>
      <x:c r="D14" s="4"/>
      <x:c r="E14" s="4"/>
      <x:c r="F14" s="4"/>
    </x:row>
    <x:row r="15">
      <x:c r="A15" s="4" t="str">
        <x:v>The $3,000 private sale and approved CAP payments are alternatives. The purchase price comparison excludes both (P15–P17/P36/P37).</x:v>
      </x:c>
      <x:c r="B15" s="4"/>
      <x:c r="C15" s="4"/>
      <x:c r="D15" s="4"/>
      <x:c r="E15" s="4"/>
      <x:c r="F15" s="4"/>
    </x:row>
    <x:row r="16">
      <x:c r="A16" s="4"/>
      <x:c r="B16" s="4"/>
      <x:c r="C16" s="4"/>
      <x:c r="D16" s="4"/>
      <x:c r="E16" s="4"/>
      <x:c r="F16" s="4"/>
    </x:row>
    <x:row r="17">
      <x:c r="A17" t="str">
        <x:v>Illustrative advertised purchase prices</x:v>
      </x:c>
    </x:row>
    <x:row r="18">
      <x:c r="A18" s="12" t="str">
        <x:v>Dealer listing</x:v>
      </x:c>
      <x:c r="B18" s="12" t="str">
        <x:v>Price before fees</x:v>
      </x:c>
      <x:c r="C18" s="12" t="str">
        <x:v>Modeled net</x:v>
      </x:c>
      <x:c r="D18" s="12" t="str">
        <x:v>Evidence</x:v>
      </x:c>
      <x:c r="E18" s="12" t="str">
        <x:v>Dealer discount</x:v>
      </x:c>
    </x:row>
    <x:row r="19">
      <x:c r="A19" t="str">
        <x:v>Bolt LT · VF125807</x:v>
      </x:c>
      <x:c r="B19" s="204" t="n">
        <x:f>Evidence!D261-Evidence!D262</x:f>
        <x:v>27745</x:v>
      </x:c>
      <x:c r="C19" s="204" t="n">
        <x:f>B19-'Part 2 Incentives'!L16</x:f>
        <x:v>21245</x:v>
      </x:c>
      <x:c r="D19" t="str">
        <x:v>P72/P76</x:v>
      </x:c>
      <x:c r="E19" s="204" t="n">
        <x:f>Evidence!D262</x:f>
        <x:v>1250</x:v>
      </x:c>
    </x:row>
    <x:row r="20">
      <x:c r="A20" t="str">
        <x:v>Equinox LT 1 · TS157475</x:v>
      </x:c>
      <x:c r="B20" s="204" t="n">
        <x:f>Evidence!D263-Evidence!D264</x:f>
        <x:v>35186</x:v>
      </x:c>
      <x:c r="C20" s="204" t="n">
        <x:f>B20-'Part 2 Incentives'!L18</x:f>
        <x:v>28686</x:v>
      </x:c>
      <x:c r="D20" t="str">
        <x:v>P73/P77</x:v>
      </x:c>
      <x:c r="E20" s="204" t="n">
        <x:f>Evidence!D264</x:f>
        <x:v>2004</x:v>
      </x:c>
    </x:row>
    <x:row r="21" ht="35" customHeight="1">
      <x:c r="A21" s="29" t="str">
        <x:v>Illustration assumes the advertised discount and both rebates can be redeemed together. Verify final cash price, fees and stacking on a written quote.</x:v>
      </x:c>
      <x:c r="B21" s="29"/>
      <x:c r="C21" s="29"/>
      <x:c r="D21" s="29"/>
      <x:c r="E21" s="29"/>
      <x:c r="F21" s="29"/>
    </x:row>
  </x:sheetData>
  <x:mergeCells>
    <x:mergeCell ref="A10:F10"/>
    <x:mergeCell ref="A21:F2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147C71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6.380001068115234" hidden="0" customWidth="1"/>
    <x:col min="2" max="2" width="16.6299991607666" hidden="0" customWidth="1"/>
    <x:col min="3" max="3" width="15.5" hidden="0" customWidth="1"/>
    <x:col min="4" max="4" width="16.6299991607666" hidden="0" customWidth="1"/>
    <x:col min="5" max="5" width="67.75" hidden="0" customWidth="1"/>
  </x:cols>
  <x:sheetData>
    <x:row r="2" ht="27" customHeight="1">
      <x:c r="A2" s="112" t="str">
        <x:v>Part 3  |  Break-even on replacing the Corolla</x:v>
      </x:c>
      <x:c r="B2" s="4"/>
      <x:c r="C2" s="4"/>
      <x:c r="D2" s="4"/>
      <x:c r="E2" s="4"/>
    </x:row>
    <x:row r="3" ht="27" customHeight="1">
      <x:c r="A3" s="139" t="str">
        <x:v>November 6, 2026 snapshot. The headline answers early scrappage. The private sale and approved BAR payment appear separately.</x:v>
      </x:c>
      <x:c r="B3" s="13"/>
      <x:c r="C3" s="13"/>
      <x:c r="D3" s="13"/>
      <x:c r="E3" s="13"/>
    </x:row>
    <x:row r="4" ht="19" customHeight="1">
      <x:c r="A4" s="140" t="str">
        <x:v>See Evidence for sources B01–B38. Column G gives the locator and I contains the source URL.</x:v>
      </x:c>
      <x:c r="B4" s="4"/>
      <x:c r="C4" s="4"/>
      <x:c r="D4" s="4"/>
      <x:c r="E4" s="4"/>
    </x:row>
    <x:row r="5" ht="36" customHeight="1">
      <x:c r="A5" s="144" t="str">
        <x:v>Scrap with no retirement payment</x:v>
      </x:c>
      <x:c r="B5" s="146" t="n">
        <x:f>D64</x:f>
        <x:v>15.097912567771514</x:v>
      </x:c>
      <x:c r="C5" s="142" t="str"/>
      <x:c r="D5" s="142" t="str">
        <x:v>B32/P15–P17</x:v>
      </x:c>
      <x:c r="E5" s="180" t="str">
        <x:v>Headline early-scrappage case. No private-sale proceeds or unverified retirement payment.</x:v>
      </x:c>
    </x:row>
    <x:row r="6" ht="36" customHeight="1">
      <x:c r="A6" s="147" t="str">
        <x:v>Upfront cost if scrapped with no payment</x:v>
      </x:c>
      <x:c r="B6" s="150" t="n">
        <x:f>B64</x:f>
        <x:v>25824.5</x:v>
      </x:c>
      <x:c r="C6" s="147" t="str"/>
      <x:c r="D6" s="147" t="str"/>
      <x:c r="E6" s="181" t="str">
        <x:v>Vehicle purchase after rebates, tax, core fees and net charger cost.</x:v>
      </x:c>
    </x:row>
    <x:row r="7" ht="36" customHeight="1">
      <x:c r="A7" s="147" t="str">
        <x:v>Annual savings from year 2</x:v>
      </x:c>
      <x:c r="B7" s="150" t="n">
        <x:f>IF(ISNUMBER(D47),D47,"")</x:f>
        <x:v>1702.4538912000003</x:v>
      </x:c>
      <x:c r="C7" s="147" t="str"/>
      <x:c r="D7" s="147" t="str">
        <x:v>B24/B33</x:v>
      </x:c>
      <x:c r="E7" s="181" t="str">
        <x:v>First-year savings are higher because the initial EV registration is exempt from the road fee.</x:v>
      </x:c>
    </x:row>
    <x:row r="8" ht="36" customHeight="1">
      <x:c r="A8" s="147" t="str">
        <x:v>Scrap with approved $2,000 BAR payment</x:v>
      </x:c>
      <x:c r="B8" s="151" t="n">
        <x:f>D65</x:f>
        <x:v>13.92313772638637</x:v>
      </x:c>
      <x:c r="C8" s="147" t="str"/>
      <x:c r="D8" s="147" t="str">
        <x:v>P16/P17</x:v>
      </x:c>
      <x:c r="E8" s="181" t="str">
        <x:v>Requires qualifying failed Smog Check and BAR approval. Compare private sale in row 9.</x:v>
      </x:c>
    </x:row>
    <x:row r="9" ht="36" customHeight="1">
      <x:c r="A9" s="16" t="str">
        <x:v>Private sale at assignment's $3,000</x:v>
      </x:c>
      <x:c r="B9" s="205" t="n">
        <x:f>IF(COUNT(B64,D45,D47)&lt;3,"Check inputs",IF(B64-Evidence!D180&lt;=0,0,IF(AND(D45&gt;0,B64-Evidence!D180&lt;=D45),(B64-Evidence!D180)/D45,IF(D47&lt;=0,"No payback",1+(B64-Evidence!D180-D45)/D47))))</x:f>
        <x:v>13.335750305693798</x:v>
      </x:c>
      <x:c r="C9" s="16"/>
      <x:c r="D9" s="16" t="str">
        <x:v>P36</x:v>
      </x:c>
      <x:c r="E9" s="206" t="str">
        <x:v>Fixed $3,000 private-sale comparison. Separate from scrappage.</x:v>
      </x:c>
    </x:row>
    <x:row r="10" ht="23" customHeight="1">
      <x:c r="A10" s="154" t="str">
        <x:v>Driving and purchase inputs</x:v>
      </x:c>
      <x:c r="B10" s="154" t="str">
        <x:v>Value</x:v>
      </x:c>
      <x:c r="C10" s="154" t="str">
        <x:v>Unit</x:v>
      </x:c>
      <x:c r="D10" s="154" t="str">
        <x:v>Evidence ID</x:v>
      </x:c>
      <x:c r="E10" s="182" t="str">
        <x:v>Basis</x:v>
      </x:c>
    </x:row>
    <x:row r="11" ht="25" customHeight="1">
      <x:c r="A11" s="4" t="str">
        <x:v>Selected EV</x:v>
      </x:c>
      <x:c r="B11" s="4" t="str">
        <x:f>'Part 2 Incentives'!B16</x:f>
        <x:v>Bolt</x:v>
      </x:c>
      <x:c r="C11" s="4" t="str"/>
      <x:c r="D11" s="4" t="str">
        <x:v>P57 / E05</x:v>
      </x:c>
      <x:c r="E11" s="13" t="str">
        <x:v>2027 Chevrolet Bolt LT FWD. Model and purchase figures link to the existing Part 2 row.</x:v>
      </x:c>
    </x:row>
    <x:row r="12" ht="25" customHeight="1">
      <x:c r="A12" s="4" t="str">
        <x:v>EV list price with destination</x:v>
      </x:c>
      <x:c r="B12" s="17" t="n">
        <x:f>'Part 2 Incentives'!E16</x:f>
        <x:v>28995</x:v>
      </x:c>
      <x:c r="C12" s="4" t="str">
        <x:v>USD</x:v>
      </x:c>
      <x:c r="D12" s="4" t="str">
        <x:v>E05</x:v>
      </x:c>
      <x:c r="E12" s="13" t="str">
        <x:v>Used as the taxable selling-price proxy.</x:v>
      </x:c>
    </x:row>
    <x:row r="13" ht="33" customHeight="1">
      <x:c r="A13" s="4" t="str">
        <x:v>EV purchase price after incentives</x:v>
      </x:c>
      <x:c r="B13" s="17" t="n">
        <x:f>'Part 2 Incentives'!M16</x:f>
        <x:v>22495</x:v>
      </x:c>
      <x:c r="C13" s="4" t="str">
        <x:v>USD</x:v>
      </x:c>
      <x:c r="D13" s="4" t="str">
        <x:v>P08/P11/P72</x:v>
      </x:c>
      <x:c r="E13" s="13" t="str">
        <x:v>Part 2 includes $3,500 state MyFirstEV and $3,000 SJCE instant rebates.</x:v>
      </x:c>
    </x:row>
    <x:row r="14" ht="33" customHeight="1">
      <x:c r="A14" s="4" t="str">
        <x:v>Corolla proceeds under Part 2 choice</x:v>
      </x:c>
      <x:c r="B14" s="17" t="n">
        <x:f>MAX(0,'Part 2 Incentives'!M16-'Part 2 Incentives'!O16)</x:f>
        <x:v>3000</x:v>
      </x:c>
      <x:c r="C14" s="4" t="str">
        <x:v>USD</x:v>
      </x:c>
      <x:c r="D14" s="4" t="str">
        <x:v>B32 / P36</x:v>
      </x:c>
      <x:c r="E14" s="13" t="str">
        <x:v>Defaults to the assignment's $3,000 private sale. The scrappage cases below replace those proceeds.</x:v>
      </x:c>
    </x:row>
    <x:row r="15" ht="25" customHeight="1">
      <x:c r="A15" s="4" t="str">
        <x:v>Annual miles</x:v>
      </x:c>
      <x:c r="B15" s="157" t="n">
        <x:f>Evidence!D220</x:f>
        <x:v>10812</x:v>
      </x:c>
      <x:c r="C15" s="4" t="str">
        <x:v>mi/yr</x:v>
      </x:c>
      <x:c r="D15" s="4" t="str">
        <x:v>B05</x:v>
      </x:c>
      <x:c r="E15" s="13" t="str">
        <x:v>U.S. short-wheelbase light-duty benchmark. Enter household mileage if known.</x:v>
      </x:c>
    </x:row>
    <x:row r="16" ht="25" customHeight="1">
      <x:c r="A16" s="4" t="str">
        <x:v>Regular gasoline</x:v>
      </x:c>
      <x:c r="B16" s="160" t="n">
        <x:f>Evidence!D216</x:f>
        <x:v>5.7544</x:v>
      </x:c>
      <x:c r="C16" s="4" t="str">
        <x:v>USD/gal</x:v>
      </x:c>
      <x:c r="D16" s="4" t="str">
        <x:v>B01</x:v>
      </x:c>
      <x:c r="E16" s="13" t="str">
        <x:v>AAA San José metro average for November 6, 2026.</x:v>
      </x:c>
    </x:row>
    <x:row r="17" ht="25" customHeight="1">
      <x:c r="A17" s="4" t="str">
        <x:v>Corolla combined fuel economy</x:v>
      </x:c>
      <x:c r="B17" s="162" t="n">
        <x:f>Evidence!D217</x:f>
        <x:v>30</x:v>
      </x:c>
      <x:c r="C17" s="4" t="str">
        <x:v>mi/gal</x:v>
      </x:c>
      <x:c r="D17" s="4" t="str">
        <x:v>B02</x:v>
      </x:c>
      <x:c r="E17" s="13" t="str">
        <x:v>Assumes a 2009 Corolla with the 1.8L automatic. Use observed fuel economy if available.</x:v>
      </x:c>
    </x:row>
    <x:row r="18" ht="25" customHeight="1">
      <x:c r="A18" s="4" t="str">
        <x:v>Bolt combined energy use</x:v>
      </x:c>
      <x:c r="B18" s="162" t="n">
        <x:f>Evidence!D218</x:f>
        <x:v>28</x:v>
      </x:c>
      <x:c r="C18" s="4" t="str">
        <x:v>kWh/100 mi</x:v>
      </x:c>
      <x:c r="D18" s="4" t="str">
        <x:v>B03–B04</x:v>
      </x:c>
      <x:c r="E18" s="13" t="str">
        <x:v>EPA electricity use includes charging losses. Use the wall-energy value for cost.</x:v>
      </x:c>
    </x:row>
    <x:row r="19" ht="25" customHeight="1">
      <x:c r="A19" s="4" t="str">
        <x:v>Effective electricity rate</x:v>
      </x:c>
      <x:c r="B19" s="163" t="n">
        <x:f>IF(B20="",B59,B20)</x:f>
        <x:v>0.22558000000000003</x:v>
      </x:c>
      <x:c r="C19" s="4" t="str">
        <x:v>USD/kWh</x:v>
      </x:c>
      <x:c r="D19" s="4" t="str">
        <x:v>B08–B17</x:v>
      </x:c>
      <x:c r="E19" s="13" t="str">
        <x:v>Off-peak PG&amp;E EV2-A with SJCE GreenSource before household discounts. Row 68 illustrates FERA and SJ Cares.</x:v>
      </x:c>
    </x:row>
    <x:row r="20" ht="33" customHeight="1">
      <x:c r="A20" s="4" t="str">
        <x:v>Electricity rate override</x:v>
      </x:c>
      <x:c r="B20" s="165"/>
      <x:c r="C20" s="4" t="str">
        <x:v>USD/kWh</x:v>
      </x:c>
      <x:c r="D20" s="4" t="str">
        <x:v>B31</x:v>
      </x:c>
      <x:c r="E20" s="13" t="str">
        <x:v>Optional. Enter a weighted charging price or actual marginal rate if on a different plan, including FERA/SJ Cares.</x:v>
      </x:c>
    </x:row>
    <x:row r="21" ht="25" customHeight="1">
      <x:c r="A21" s="4" t="str">
        <x:v>Corolla scheduled maintenance</x:v>
      </x:c>
      <x:c r="B21" s="168" t="n">
        <x:f>Evidence!D221</x:f>
        <x:v>0.101</x:v>
      </x:c>
      <x:c r="C21" s="4" t="str">
        <x:v>USD/mi</x:v>
      </x:c>
      <x:c r="D21" s="4" t="str">
        <x:v>B06</x:v>
      </x:c>
      <x:c r="E21" s="13" t="str">
        <x:v>DOE benchmark for conventional gasoline vehicles.</x:v>
      </x:c>
    </x:row>
    <x:row r="22" ht="25" customHeight="1">
      <x:c r="A22" s="4" t="str">
        <x:v>Bolt scheduled maintenance</x:v>
      </x:c>
      <x:c r="B22" s="168" t="n">
        <x:f>Evidence!D222</x:f>
        <x:v>0.061</x:v>
      </x:c>
      <x:c r="C22" s="4" t="str">
        <x:v>USD/mi</x:v>
      </x:c>
      <x:c r="D22" s="4" t="str">
        <x:v>B07</x:v>
      </x:c>
      <x:c r="E22" s="13" t="str">
        <x:v>DOE benchmark for battery-electric vehicles.</x:v>
      </x:c>
    </x:row>
    <x:row r="23" ht="25" customHeight="1">
      <x:c r="A23" s="4" t="str">
        <x:v>Other annual EV costs above Corolla</x:v>
      </x:c>
      <x:c r="B23" s="170" t="n">
        <x:v>0</x:v>
      </x:c>
      <x:c r="C23" s="4" t="str">
        <x:v>USD/yr</x:v>
      </x:c>
      <x:c r="D23" s="4" t="str">
        <x:v>B33</x:v>
      </x:c>
      <x:c r="E23" s="13" t="str">
        <x:v>Optional net insurance or other recurring cost difference. The known renewal road fee is separate.</x:v>
      </x:c>
    </x:row>
    <x:row r="24">
      <x:c r="A24" s="4"/>
      <x:c r="B24" s="4"/>
      <x:c r="C24" s="4"/>
      <x:c r="D24" s="4"/>
      <x:c r="E24" s="13"/>
    </x:row>
    <x:row r="25" ht="23" customHeight="1">
      <x:c r="A25" s="154" t="str">
        <x:v>Upfront cost</x:v>
      </x:c>
      <x:c r="B25" s="154" t="str">
        <x:v>Value</x:v>
      </x:c>
      <x:c r="C25" s="154" t="str">
        <x:v>Unit</x:v>
      </x:c>
      <x:c r="D25" s="154" t="str">
        <x:v>Evidence ID</x:v>
      </x:c>
      <x:c r="E25" s="182" t="str">
        <x:v>Basis</x:v>
      </x:c>
    </x:row>
    <x:row r="26" ht="25" customHeight="1">
      <x:c r="A26" s="4" t="str">
        <x:v>Estimated vehicle sales tax</x:v>
      </x:c>
      <x:c r="B26" s="171" t="n">
        <x:f>ROUND(B12*Evidence!D233,2)</x:f>
        <x:v>2899.5</x:v>
      </x:c>
      <x:c r="C26" s="4" t="str">
        <x:v>USD</x:v>
      </x:c>
      <x:c r="D26" s="4" t="str">
        <x:v>B18–B19</x:v>
      </x:c>
      <x:c r="E26" s="13" t="str">
        <x:v>10% on the modeled selling price before third-party rebates.</x:v>
      </x:c>
    </x:row>
    <x:row r="27" ht="33" customHeight="1">
      <x:c r="A27" s="4" t="str">
        <x:v>Core initial DMV charges</x:v>
      </x:c>
      <x:c r="B27" s="17" t="n">
        <x:f>SUM(Evidence!D235:D237)+ROUND(B12*Evidence!D238,0)</x:f>
        <x:v>430</x:v>
      </x:c>
      <x:c r="C27" s="4" t="str">
        <x:v>USD</x:v>
      </x:c>
      <x:c r="D27" s="4" t="str">
        <x:v>B20–B23</x:v>
      </x:c>
      <x:c r="E27" s="13" t="str">
        <x:v>Registration + CHP + value-band transportation fee + rounded license fee. Excludes variable local and dealer fees.</x:v>
      </x:c>
    </x:row>
    <x:row r="28" ht="25" customHeight="1">
      <x:c r="A28" s="4" t="str">
        <x:v>Level 2 charger hardware</x:v>
      </x:c>
      <x:c r="B28" s="173" t="n">
        <x:f>Evidence!D240</x:f>
        <x:v>449</x:v>
      </x:c>
      <x:c r="C28" s="4" t="str">
        <x:v>USD</x:v>
      </x:c>
      <x:c r="D28" s="4" t="str">
        <x:v>B25/B28</x:v>
      </x:c>
      <x:c r="E28" s="13" t="str">
        <x:v>Emporia Classic price benchmark. Choose a compatible, approved unit.</x:v>
      </x:c>
    </x:row>
    <x:row r="29" ht="25" customHeight="1">
      <x:c r="A29" s="4" t="str">
        <x:v>Estimated charger sales tax</x:v>
      </x:c>
      <x:c r="B29" s="171" t="n">
        <x:f>ROUND(B28*Evidence!D233,2)</x:f>
        <x:v>44.9</x:v>
      </x:c>
      <x:c r="C29" s="4" t="str">
        <x:v>USD</x:v>
      </x:c>
      <x:c r="D29" s="4" t="str">
        <x:v>B18</x:v>
      </x:c>
      <x:c r="E29" s="13" t="str">
        <x:v>10% on hardware. Installation estimate is entered separately.</x:v>
      </x:c>
    </x:row>
    <x:row r="30" ht="25" customHeight="1">
      <x:c r="A30" s="4" t="str">
        <x:v>Electrical installation allowance</x:v>
      </x:c>
      <x:c r="B30" s="170" t="n">
        <x:f>Evidence!D241</x:f>
        <x:v>800</x:v>
      </x:c>
      <x:c r="C30" s="4" t="str">
        <x:v>USD</x:v>
      </x:c>
      <x:c r="D30" s="4" t="str">
        <x:v>B26</x:v>
      </x:c>
      <x:c r="E30" s="13" t="str">
        <x:v>Midpoint of PG&amp;E's $400–$1,200 range. Ordinary install on an adequate panel.</x:v>
      </x:c>
    </x:row>
    <x:row r="31" ht="25" customHeight="1">
      <x:c r="A31" s="4" t="str">
        <x:v>Permit allowance</x:v>
      </x:c>
      <x:c r="B31" s="170" t="n">
        <x:f>Evidence!D242</x:f>
        <x:v>250</x:v>
      </x:c>
      <x:c r="C31" s="4" t="str">
        <x:v>USD</x:v>
      </x:c>
      <x:c r="D31" s="4" t="str">
        <x:v>B27</x:v>
      </x:c>
      <x:c r="E31" s="13" t="str">
        <x:v>San José requires an electrical permit. This is a budget assumption until quoted.</x:v>
      </x:c>
    </x:row>
    <x:row r="32" ht="25" customHeight="1">
      <x:c r="A32" s="4" t="str">
        <x:v>Panel upgrade allowance</x:v>
      </x:c>
      <x:c r="B32" s="170" t="n">
        <x:f>Evidence!D245</x:f>
        <x:v>0</x:v>
      </x:c>
      <x:c r="C32" s="4" t="str">
        <x:v>USD</x:v>
      </x:c>
      <x:c r="D32" s="4" t="str">
        <x:v>B30</x:v>
      </x:c>
      <x:c r="E32" s="13" t="str">
        <x:v>Base assumes adequate panel capacity. Enter any required upgrade from the quote.</x:v>
      </x:c>
    </x:row>
    <x:row r="33" ht="25" customHeight="1">
      <x:c r="A33" s="4" t="str">
        <x:v>Gross installed charger cost</x:v>
      </x:c>
      <x:c r="B33" s="171" t="n">
        <x:f>SUM(B28:B32)</x:f>
        <x:v>1543.9</x:v>
      </x:c>
      <x:c r="C33" s="4" t="str">
        <x:v>USD</x:v>
      </x:c>
      <x:c r="D33" s="4" t="str"/>
      <x:c r="E33" s="13" t="str">
        <x:v>Hardware + sales tax + installation + permit + any panel work.</x:v>
      </x:c>
    </x:row>
    <x:row r="34" ht="36" customHeight="1">
      <x:c r="A34" s="4" t="str">
        <x:v>PG&amp;E rebate scenario</x:v>
      </x:c>
      <x:c r="B34" s="175" t="str">
        <x:v>Plus approved</x:v>
      </x:c>
      <x:c r="C34" s="4" t="str"/>
      <x:c r="D34" s="4" t="str">
        <x:v>P25/B34/B36</x:v>
      </x:c>
      <x:c r="E34" s="13" t="str">
        <x:v>Assumes eligible registration and preapproval, with a PG&amp;E Trade Ally purchasing and installing the eligible charger.</x:v>
      </x:c>
    </x:row>
    <x:row r="35" ht="36" customHeight="1">
      <x:c r="A35" s="4" t="str">
        <x:v>Applied charging incentive</x:v>
      </x:c>
      <x:c r="B35" s="171" t="n">
        <x:f>IF(AND(B34="Plus approved",'Part 2 Incentives'!D4=3,ISNUMBER('Part 2 Incentives'!D5),'Part 2 Incentives'!D5&lt;Evidence!D251),MIN(B33,IF(B32&gt;0,Evidence!D170,Evidence!D169)),0)</x:f>
        <x:v>1543.9</x:v>
      </x:c>
      <x:c r="C35" s="4" t="str">
        <x:v>USD</x:v>
      </x:c>
      <x:c r="D35" s="4" t="str">
        <x:v>P25/P26/B34/B36</x:v>
      </x:c>
      <x:c r="E35" s="13" t="str">
        <x:v>Three-person income must be below $146,200. Approved costs are covered up to $2,000, or $5,000 with a required panel upgrade.</x:v>
      </x:c>
    </x:row>
    <x:row r="36" ht="33" customHeight="1">
      <x:c r="A36" s="4" t="str">
        <x:v>Net installed charger cost</x:v>
      </x:c>
      <x:c r="B36" s="171" t="n">
        <x:f>B33-B35</x:f>
        <x:v>0</x:v>
      </x:c>
      <x:c r="C36" s="4" t="str">
        <x:v>USD</x:v>
      </x:c>
      <x:c r="D36" s="4" t="str">
        <x:v>B28/B34</x:v>
      </x:c>
      <x:c r="E36" s="13" t="str">
        <x:v>Gross installed cost less the modeled rebate. Standard equipment-only option is separate (B29).</x:v>
      </x:c>
    </x:row>
    <x:row r="37" ht="25" customHeight="1">
      <x:c r="A37" s="144" t="str">
        <x:v>Net upfront cost of switching</x:v>
      </x:c>
      <x:c r="B37" s="177" t="n">
        <x:f>SUM(B13,B26,B27,B36)-B14</x:f>
        <x:v>22824.5</x:v>
      </x:c>
      <x:c r="C37" s="142" t="str">
        <x:v>USD</x:v>
      </x:c>
      <x:c r="D37" s="142" t="str"/>
      <x:c r="E37" s="180" t="str">
        <x:v>Vehicle net purchase + vehicle tax + core DMV fees + net charger − selected Corolla proceeds.</x:v>
      </x:c>
    </x:row>
    <x:row r="38">
      <x:c r="A38" s="4"/>
      <x:c r="B38" s="4"/>
      <x:c r="C38" s="4"/>
      <x:c r="D38" s="4"/>
      <x:c r="E38" s="13"/>
    </x:row>
    <x:row r="39">
      <x:c r="A39" s="4"/>
      <x:c r="B39" s="4"/>
      <x:c r="C39" s="4"/>
      <x:c r="D39" s="4"/>
      <x:c r="E39" s="13"/>
    </x:row>
    <x:row r="40" ht="23" customHeight="1">
      <x:c r="A40" s="154" t="str">
        <x:v>Annual operating cost</x:v>
      </x:c>
      <x:c r="B40" s="154" t="str">
        <x:v>Corolla</x:v>
      </x:c>
      <x:c r="C40" s="154" t="str">
        <x:v>Bolt</x:v>
      </x:c>
      <x:c r="D40" s="154" t="str">
        <x:v>EV savings</x:v>
      </x:c>
      <x:c r="E40" s="182" t="str">
        <x:v>Calculation</x:v>
      </x:c>
    </x:row>
    <x:row r="41" ht="25" customHeight="1">
      <x:c r="A41" s="4" t="str">
        <x:v>Fuel use (gal / kWh)</x:v>
      </x:c>
      <x:c r="B41" s="178" t="n">
        <x:f>IF(AND(ISNUMBER(B15),B17&gt;0),B15/B17,"")</x:f>
        <x:v>360.4</x:v>
      </x:c>
      <x:c r="C41" s="178" t="n">
        <x:f>IF(COUNT(B15,B18)=2,B15*B18/100,"")</x:f>
        <x:v>3027.36</x:v>
      </x:c>
      <x:c r="D41" s="178"/>
      <x:c r="E41" s="13" t="str">
        <x:v>Annual miles ÷ mpg for the Corolla. Annual miles × EPA kWh/100 mi ÷ 100 for the Bolt.</x:v>
      </x:c>
    </x:row>
    <x:row r="42" ht="25" customHeight="1">
      <x:c r="A42" s="4" t="str">
        <x:v>Fuel cost</x:v>
      </x:c>
      <x:c r="B42" s="17" t="n">
        <x:f>IF(COUNT(B41,B16)=2,B41*B16,"")</x:f>
        <x:v>2073.88576</x:v>
      </x:c>
      <x:c r="C42" s="17" t="n">
        <x:f>IF(COUNT(C41,B19)=2,C41*B19,"")</x:f>
        <x:v>682.9118688000001</x:v>
      </x:c>
      <x:c r="D42" s="17" t="n">
        <x:f>IF(COUNT(B42:C42)=2,B42-C42,"")</x:f>
        <x:v>1390.9738912</x:v>
      </x:c>
      <x:c r="E42" s="13" t="str">
        <x:v>Multiply gallons or billed kWh by the respective unit price.</x:v>
      </x:c>
    </x:row>
    <x:row r="43" ht="32" customHeight="1">
      <x:c r="A43" s="4" t="str">
        <x:v>Scheduled maintenance (oil, brakes, tires)</x:v>
      </x:c>
      <x:c r="B43" s="17" t="n">
        <x:f>IF(COUNT(B15,B21)=2,B15*B21,"")</x:f>
        <x:v>1092.0120000000002</x:v>
      </x:c>
      <x:c r="C43" s="17" t="n">
        <x:f>IF(COUNT(B15,B22)=2,B15*B22,"")</x:f>
        <x:v>659.532</x:v>
      </x:c>
      <x:c r="D43" s="17" t="n">
        <x:f>IF(COUNT(B43:C43)=2,B43-C43,"")</x:f>
        <x:v>432.48000000000013</x:v>
      </x:c>
      <x:c r="E43" s="13" t="str">
        <x:v>Miles × the DOE maintenance rate. Corolla includes engine oil and filter. Both vehicles include brake and tire service (B06/B07/B35).</x:v>
      </x:c>
    </x:row>
    <x:row r="44" ht="32" customHeight="1">
      <x:c r="A44" s="4" t="str">
        <x:v>Optional EV cost above Corolla</x:v>
      </x:c>
      <x:c r="B44" s="17" t="n">
        <x:f>0</x:f>
        <x:v>0</x:v>
      </x:c>
      <x:c r="C44" s="17" t="n">
        <x:f>IF(ISNUMBER(B23),B23,0)</x:f>
        <x:v>0</x:v>
      </x:c>
      <x:c r="D44" s="17" t="n">
        <x:f>-C44</x:f>
        <x:v>0</x:v>
      </x:c>
      <x:c r="E44" s="13" t="str">
        <x:v>Only the difference entered in B23, such as higher EV insurance. Routine maintenance for both cars is in row 43.</x:v>
      </x:c>
    </x:row>
    <x:row r="45" ht="25" customHeight="1">
      <x:c r="A45" s="179" t="str">
        <x:v>Year 1 operating cost and savings</x:v>
      </x:c>
      <x:c r="B45" s="150" t="n">
        <x:f>IF(COUNT(B42:B44)=3,SUM(B42:B44),"")</x:f>
        <x:v>3165.8977600000003</x:v>
      </x:c>
      <x:c r="C45" s="150" t="n">
        <x:f>IF(COUNT(C42:C44)=3,SUM(C42:C44),"")</x:f>
        <x:v>1342.4438688</x:v>
      </x:c>
      <x:c r="D45" s="150" t="n">
        <x:f>IF(COUNT(B45:C45)=2,B45-C45,"")</x:f>
        <x:v>1823.4538912000003</x:v>
      </x:c>
      <x:c r="E45" s="181" t="str">
        <x:v>Fuel + maintenance + other cost difference.</x:v>
      </x:c>
    </x:row>
    <x:row r="46" ht="25" customHeight="1">
      <x:c r="A46" s="4" t="str">
        <x:v>Road Improvement Fee from year 2</x:v>
      </x:c>
      <x:c r="B46" s="17" t="n">
        <x:f>0</x:f>
        <x:v>0</x:v>
      </x:c>
      <x:c r="C46" s="17" t="n">
        <x:f>Evidence!D239</x:f>
        <x:v>121</x:v>
      </x:c>
      <x:c r="D46" s="17" t="n">
        <x:f>-C46</x:f>
        <x:v>-121</x:v>
      </x:c>
      <x:c r="E46" s="13" t="str">
        <x:v>California DMV charges $121 at EV renewals. Initial new-ZEV registration is exempt (B24).</x:v>
      </x:c>
    </x:row>
    <x:row r="47" ht="25" customHeight="1">
      <x:c r="A47" s="179" t="str">
        <x:v>Year 2 onward operating cost and savings</x:v>
      </x:c>
      <x:c r="B47" s="150" t="n">
        <x:f>IF(ISNUMBER(B45),SUM(B45:B46),"")</x:f>
        <x:v>3165.8977600000003</x:v>
      </x:c>
      <x:c r="C47" s="150" t="n">
        <x:f>IF(ISNUMBER(C45),SUM(C45:C46),"")</x:f>
        <x:v>1463.4438688</x:v>
      </x:c>
      <x:c r="D47" s="150" t="n">
        <x:f>IF(COUNT(B47:C47)=2,B47-C47,"")</x:f>
        <x:v>1702.4538912000003</x:v>
      </x:c>
      <x:c r="E47" s="181" t="str">
        <x:v>Year 1 operating savings less the EV renewal fee.</x:v>
      </x:c>
    </x:row>
    <x:row r="48">
      <x:c r="A48" s="4"/>
      <x:c r="B48" s="4"/>
      <x:c r="C48" s="4"/>
      <x:c r="D48" s="4"/>
      <x:c r="E48" s="13"/>
    </x:row>
    <x:row r="49">
      <x:c r="A49" s="4"/>
      <x:c r="B49" s="4"/>
      <x:c r="C49" s="4"/>
      <x:c r="D49" s="4"/>
      <x:c r="E49" s="13"/>
    </x:row>
    <x:row r="50" ht="23" customHeight="1">
      <x:c r="A50" s="154" t="str">
        <x:v>Home electricity rate build</x:v>
      </x:c>
      <x:c r="B50" s="154" t="str">
        <x:v>Winter</x:v>
      </x:c>
      <x:c r="C50" s="154" t="str">
        <x:v>Summer</x:v>
      </x:c>
      <x:c r="D50" s="154" t="str">
        <x:v>Evidence ID</x:v>
      </x:c>
      <x:c r="E50" s="182" t="str">
        <x:v>All values in USD/kWh</x:v>
      </x:c>
    </x:row>
    <x:row r="51" ht="25" customHeight="1">
      <x:c r="A51" s="4" t="str">
        <x:v>PG&amp;E bundled EV2-A off-peak</x:v>
      </x:c>
      <x:c r="B51" s="163" t="n">
        <x:f>Evidence!D223</x:f>
        <x:v>0.22558</x:v>
      </x:c>
      <x:c r="C51" s="163" t="n">
        <x:f>Evidence!D224</x:f>
        <x:v>0.22558</x:v>
      </x:c>
      <x:c r="D51" s="4" t="str">
        <x:v>B08–B09</x:v>
      </x:c>
      <x:c r="E51" s="13" t="str">
        <x:v>Tariff effective June 1, 2026. Base case charges off-peak (midnight–3 p.m.).</x:v>
      </x:c>
    </x:row>
    <x:row r="52" ht="25" customHeight="1">
      <x:c r="A52" s="4" t="str">
        <x:v>Bundled PG&amp;E generation</x:v>
      </x:c>
      <x:c r="B52" s="163" t="n">
        <x:f>Evidence!D225</x:f>
        <x:v>0.09546</x:v>
      </x:c>
      <x:c r="C52" s="163" t="n">
        <x:f>Evidence!D226</x:f>
        <x:v>0.10245</x:v>
      </x:c>
      <x:c r="D52" s="4" t="str">
        <x:v>B10–B11</x:v>
      </x:c>
      <x:c r="E52" s="13" t="str">
        <x:v>Remove PG&amp;E generation to price SJCE generation instead.</x:v>
      </x:c>
    </x:row>
    <x:row r="53" ht="25" customHeight="1">
      <x:c r="A53" s="4" t="str">
        <x:v>Bundled PG&amp;E PCIA</x:v>
      </x:c>
      <x:c r="B53" s="163" t="n">
        <x:f>Evidence!D227</x:f>
        <x:v>-0.01011</x:v>
      </x:c>
      <x:c r="C53" s="163" t="n">
        <x:f>Evidence!D227</x:f>
        <x:v>-0.01011</x:v>
      </x:c>
      <x:c r="D53" s="4" t="str">
        <x:v>B12</x:v>
      </x:c>
      <x:c r="E53" s="13" t="str">
        <x:v>Remove bundled PCIA before adding the applicable SJCE vintage charge.</x:v>
      </x:c>
    </x:row>
    <x:row r="54" ht="25" customHeight="1">
      <x:c r="A54" s="4" t="str">
        <x:v>PG&amp;E delivery and other per-kWh charges</x:v>
      </x:c>
      <x:c r="B54" s="163" t="n">
        <x:f>B51-B52-B53</x:f>
        <x:v>0.14023000000000002</x:v>
      </x:c>
      <x:c r="C54" s="163" t="n">
        <x:f>C51-C52-C53</x:f>
        <x:v>0.13324</x:v>
      </x:c>
      <x:c r="D54" s="4" t="str">
        <x:v>B08–B12</x:v>
      </x:c>
      <x:c r="E54" s="13" t="str">
        <x:v>Total bundled rate minus the two components above.</x:v>
      </x:c>
    </x:row>
    <x:row r="55" ht="25" customHeight="1">
      <x:c r="A55" s="4" t="str">
        <x:v>SJCE GreenSource generation</x:v>
      </x:c>
      <x:c r="B55" s="163" t="n">
        <x:f>Evidence!D228</x:f>
        <x:v>0.04797</x:v>
      </x:c>
      <x:c r="C55" s="163" t="n">
        <x:f>Evidence!D229</x:f>
        <x:v>0.05496</x:v>
      </x:c>
      <x:c r="D55" s="4" t="str">
        <x:v>B13–B14</x:v>
      </x:c>
      <x:c r="E55" s="13" t="str">
        <x:v>Current published generation charge, off-peak.</x:v>
      </x:c>
    </x:row>
    <x:row r="56" ht="25" customHeight="1">
      <x:c r="A56" s="4" t="str">
        <x:v>PG&amp;E vintage PCIA</x:v>
      </x:c>
      <x:c r="B56" s="163" t="n">
        <x:f>Evidence!D230</x:f>
        <x:v>0.03679</x:v>
      </x:c>
      <x:c r="C56" s="163" t="n">
        <x:f>Evidence!D230</x:f>
        <x:v>0.03679</x:v>
      </x:c>
      <x:c r="D56" s="4" t="str">
        <x:v>B15</x:v>
      </x:c>
      <x:c r="E56" s="13" t="str">
        <x:v>Representative 2018 vintage. Use actual bill rates if different.</x:v>
      </x:c>
    </x:row>
    <x:row r="57" ht="25" customHeight="1">
      <x:c r="A57" s="4" t="str">
        <x:v>Franchise fee surcharge</x:v>
      </x:c>
      <x:c r="B57" s="163" t="n">
        <x:f>Evidence!D231</x:f>
        <x:v>0.00059</x:v>
      </x:c>
      <x:c r="C57" s="163" t="n">
        <x:f>Evidence!D231</x:f>
        <x:v>0.00059</x:v>
      </x:c>
      <x:c r="D57" s="4" t="str">
        <x:v>B16</x:v>
      </x:c>
      <x:c r="E57" s="13" t="str">
        <x:v>Same vintage convention as above.</x:v>
      </x:c>
    </x:row>
    <x:row r="58" ht="25" customHeight="1">
      <x:c r="A58" s="4" t="str">
        <x:v>SJCE and PG&amp;E marginal off-peak rate</x:v>
      </x:c>
      <x:c r="B58" s="163" t="n">
        <x:f>SUM(B54:B57)</x:f>
        <x:v>0.22558000000000003</x:v>
      </x:c>
      <x:c r="C58" s="163" t="n">
        <x:f>SUM(C54:C57)</x:f>
        <x:v>0.22558000000000003</x:v>
      </x:c>
      <x:c r="D58" s="4" t="str">
        <x:v>B08–B16</x:v>
      </x:c>
      <x:c r="E58" s="13" t="str">
        <x:v>Delivery + generation + vintage PCIA + franchise fee surcharge.</x:v>
      </x:c>
    </x:row>
    <x:row r="59" ht="25" customHeight="1">
      <x:c r="A59" s="4" t="str">
        <x:v>Annual off-peak rate used</x:v>
      </x:c>
      <x:c r="B59" s="163" t="n">
        <x:f>(8*B58+4*C58)/12</x:f>
        <x:v>0.22558000000000003</x:v>
      </x:c>
      <x:c r="C59" s="4" t="str">
        <x:v>USD/kWh</x:v>
      </x:c>
      <x:c r="D59" s="4" t="str">
        <x:v>B08–B17</x:v>
      </x:c>
      <x:c r="E59" s="13" t="str">
        <x:v>Weights eight winter months and four summer months. Both currently have the same off-peak rate.</x:v>
      </x:c>
    </x:row>
    <x:row r="60">
      <x:c r="A60" s="4"/>
      <x:c r="B60" s="4"/>
      <x:c r="C60" s="4"/>
      <x:c r="D60" s="4"/>
      <x:c r="E60" s="13"/>
    </x:row>
    <x:row r="61" ht="23" customHeight="1">
      <x:c r="A61" s="154" t="str">
        <x:v>Sensitivity cases</x:v>
      </x:c>
      <x:c r="B61" s="154" t="str">
        <x:v>Upfront cost</x:v>
      </x:c>
      <x:c r="C61" s="154" t="str">
        <x:v>Savings from yr 2</x:v>
      </x:c>
      <x:c r="D61" s="154" t="str">
        <x:v>Payback</x:v>
      </x:c>
      <x:c r="E61" s="182" t="str">
        <x:v>Change from current inputs</x:v>
      </x:c>
    </x:row>
    <x:row r="62" ht="27" customHeight="1">
      <x:c r="A62" s="147" t="str">
        <x:v>Selected disposition and inputs</x:v>
      </x:c>
      <x:c r="B62" s="148" t="n">
        <x:f>B37</x:f>
        <x:v>22824.5</x:v>
      </x:c>
      <x:c r="C62" s="148" t="n">
        <x:f>D47</x:f>
        <x:v>1702.4538912000003</x:v>
      </x:c>
      <x:c r="D62" s="149" t="n">
        <x:f>IF(COUNT(B62,D45,C62)&lt;3,"Check inputs",IF(B62&lt;=0,0,IF(AND(D45&gt;0,B62&lt;=D45),B62/D45,IF(C62&lt;=0,"No payback",1+(B62-D45)/C62))))</x:f>
        <x:v>13.335750305693798</x:v>
      </x:c>
      <x:c r="E62" s="181" t="str">
        <x:v>Matches the editable disposition on the incentives sheet. Saved with the $3,000 private sale.</x:v>
      </x:c>
    </x:row>
    <x:row r="63" ht="33" customHeight="1">
      <x:c r="A63" s="4" t="str">
        <x:v>Without PG&amp;E charger rebate</x:v>
      </x:c>
      <x:c r="B63" s="17" t="n">
        <x:f>B37+B35</x:f>
        <x:v>24368.4</x:v>
      </x:c>
      <x:c r="C63" s="17" t="n">
        <x:f>D47</x:f>
        <x:v>1702.4538912000003</x:v>
      </x:c>
      <x:c r="D63" s="141" t="n">
        <x:f>IF(COUNT(B63,D45,C63)&lt;3,"Check inputs",IF(B63&lt;=0,0,IF(AND(D45&gt;0,B63&lt;=D45),B63/D45,IF(C63&lt;=0,"No payback",1+(B63-D45)/C63))))</x:f>
        <x:v>14.24261774450106</x:v>
      </x:c>
      <x:c r="E63" s="13" t="str">
        <x:v>Removes PG&amp;E charger coverage and keeps the selected disposition.</x:v>
      </x:c>
    </x:row>
    <x:row r="64" ht="27" customHeight="1">
      <x:c r="A64" s="147" t="str">
        <x:v>Scrap without a retirement payment</x:v>
      </x:c>
      <x:c r="B64" s="148" t="n">
        <x:f>B37+B14</x:f>
        <x:v>25824.5</x:v>
      </x:c>
      <x:c r="C64" s="148" t="n">
        <x:f>D47</x:f>
        <x:v>1702.4538912000003</x:v>
      </x:c>
      <x:c r="D64" s="149" t="n">
        <x:f>IF(COUNT(B64,D45,C64)&lt;3,"Check inputs",IF(B64&lt;=0,0,IF(AND(D45&gt;0,B64&lt;=D45),B64/D45,IF(C64&lt;=0,"No payback",1+(B64-D45)/C64))))</x:f>
        <x:v>15.097912567771514</x:v>
      </x:c>
      <x:c r="E64" s="181" t="str">
        <x:v>Sets Corolla proceeds to $0. Compare with the default private sale (P36).</x:v>
      </x:c>
    </x:row>
    <x:row r="65" ht="33" customHeight="1">
      <x:c r="A65" s="4" t="str">
        <x:v>Approved $2,000 CAP retirement</x:v>
      </x:c>
      <x:c r="B65" s="17" t="n">
        <x:f>B37+B14-Evidence!D160</x:f>
        <x:v>23824.5</x:v>
      </x:c>
      <x:c r="C65" s="17" t="n">
        <x:f>D47</x:f>
        <x:v>1702.4538912000003</x:v>
      </x:c>
      <x:c r="D65" s="141" t="n">
        <x:f>IF(COUNT(B65,D45,C65)&lt;3,"Check inputs",IF(B65&lt;=0,0,IF(AND(D45&gt;0,B65&lt;=D45),B65/D45,IF(C65&lt;=0,"No payback",1+(B65-D45)/C65))))</x:f>
        <x:v>13.92313772638637</x:v>
      </x:c>
      <x:c r="E65" s="13" t="str">
        <x:v>Assumes qualifying failed Smog Check and approval. Excludes a private sale. P16/P17.</x:v>
      </x:c>
    </x:row>
    <x:row r="66" ht="27" customHeight="1">
      <x:c r="A66" s="147" t="str">
        <x:v>8,000 mi/year</x:v>
      </x:c>
      <x:c r="B66" s="148" t="n">
        <x:f>B37</x:f>
        <x:v>22824.5</x:v>
      </x:c>
      <x:c r="C66" s="148" t="n">
        <x:f>IF(ISNUMBER($D$45),(8000*($B$16/$B$17-$B$18/100*$B$19+$B$21-$B$22)-$C$44)-$C$46,"")</x:f>
        <x:v>1228.2074666666667</x:v>
      </x:c>
      <x:c r="D66" s="149" t="n">
        <x:f>IF(ISNUMBER(C66),IF(COUNT(B66,(8000*($B$16/$B$17-$B$18/100*$B$19+$B$21-$B$22)-$C$44),C66)&lt;3,"Check inputs",IF(B66&lt;=0,0,IF(AND((8000*($B$16/$B$17-$B$18/100*$B$19+$B$21-$B$22)-$C$44)&gt;0,B66&lt;=(8000*($B$16/$B$17-$B$18/100*$B$19+$B$21-$B$22)-$C$44)),B66/(8000*($B$16/$B$17-$B$18/100*$B$19+$B$21-$B$22)-$C$44),IF(C66&lt;=0,"No payback",1+(B66-(8000*($B$16/$B$17-$B$18/100*$B$19+$B$21-$B$22)-$C$44))/C66)))),"Check inputs")</x:f>
        <x:v>18.48506918917933</x:v>
      </x:c>
      <x:c r="E66" s="181" t="str">
        <x:v>Illustrative mileage. Same unit costs, upfront cost and renewal fee.</x:v>
      </x:c>
    </x:row>
    <x:row r="67" ht="27" customHeight="1">
      <x:c r="A67" s="4" t="str">
        <x:v>15,000 mi/year</x:v>
      </x:c>
      <x:c r="B67" s="17" t="n">
        <x:f>B37</x:f>
        <x:v>22824.5</x:v>
      </x:c>
      <x:c r="C67" s="17" t="n">
        <x:f>IF(ISNUMBER($D$45),(15000*($B$16/$B$17-$B$18/100*$B$19+$B$21-$B$22)-$C$44)-$C$46,"")</x:f>
        <x:v>2408.764</x:v>
      </x:c>
      <x:c r="D67" s="141" t="n">
        <x:f>IF(ISNUMBER(C67),IF(COUNT(B67,(15000*($B$16/$B$17-$B$18/100*$B$19+$B$21-$B$22)-$C$44),C67)&lt;3,"Check inputs",IF(B67&lt;=0,0,IF(AND((15000*($B$16/$B$17-$B$18/100*$B$19+$B$21-$B$22)-$C$44)&gt;0,B67&lt;=(15000*($B$16/$B$17-$B$18/100*$B$19+$B$21-$B$22)-$C$44)),B67/(15000*($B$16/$B$17-$B$18/100*$B$19+$B$21-$B$22)-$C$44),IF(C67&lt;=0,"No payback",1+(B67-(15000*($B$16/$B$17-$B$18/100*$B$19+$B$21-$B$22)-$C$44))/C67)))),"Check inputs")</x:f>
        <x:v>9.425373345001836</x:v>
      </x:c>
      <x:c r="E67" s="13" t="str">
        <x:v>Illustrative mileage. Same unit costs, upfront cost and renewal fee.</x:v>
      </x:c>
    </x:row>
    <x:row r="68" ht="66" customHeight="1">
      <x:c r="A68" s="4" t="str">
        <x:v>FERA + SJ Cares, scrap with no payment</x:v>
      </x:c>
      <x:c r="B68" s="17" t="n">
        <x:f>B64</x:f>
        <x:v>25824.5</x:v>
      </x:c>
      <x:c r="C68" s="17" t="n">
        <x:f>IF(COUNT(D47,C41)=2,D47+C41*(B19-(B59-Evidence!D259*(8*B51+4*C51)/12-Evidence!D260*(8*B55+4*C55)/12)),"")</x:f>
        <x:v>1840.6056483840002</x:v>
      </x:c>
      <x:c r="D68" s="141" t="n">
        <x:f>IF(COUNT(B68,C68)&lt;2,"Check inputs",IF(B68&lt;=0,0,IF(AND(C68+C46&gt;0,B68&lt;=C68+C46),B68/(C68+C46),IF(C68&lt;=0,"No payback",1+(B68-C68-C46)/C68))))</x:f>
        <x:v>13.96469690428634</x:v>
      </x:c>
      <x:c r="E68" s="13" t="str">
        <x:v>Illustrative enrolled off-peak case (B31/B37/B38). Uses bundled-rate FERA discount and 10% off SJCE generation. Excludes fixed bill effects.</x:v>
      </x:c>
    </x:row>
    <x:row r="69" ht="36" customHeight="1">
      <x:c r="A69" s="13" t="str">
        <x:v>Method. Simple cash payback assumes constant usage and prices. Year-one savings are credited first. Remaining upfront cost is divided by renewal-year savings. Future resale values and discounting are outside the model.</x:v>
      </x:c>
      <x:c r="B69" s="13"/>
      <x:c r="C69" s="13"/>
      <x:c r="D69" s="13"/>
      <x:c r="E69" s="13"/>
    </x:row>
    <x:row r="70" ht="34" customHeight="1">
      <x:c r="A70" s="13" t="str">
        <x:v>The Corolla already has 200,000 miles. A payback longer than its remaining service life is a comparison benchmark. Financing, depreciation, unplanned repairs and eventual replacement are outside this calculation.</x:v>
      </x:c>
      <x:c r="B70" s="13"/>
      <x:c r="C70" s="13"/>
      <x:c r="D70" s="13"/>
      <x:c r="E70" s="13"/>
    </x:row>
    <x:row r="71" ht="31" customHeight="1">
      <x:c r="A71" s="13" t="str">
        <x:v>Evidence B01–B36 are on rows 216–251 and B37–B38 on rows 259–260. P-series evidence covers purchase and retirement incentives.</x:v>
      </x:c>
      <x:c r="B71" s="13"/>
      <x:c r="C71" s="13"/>
      <x:c r="D71" s="13"/>
      <x:c r="E71" s="13"/>
    </x:row>
    <x:row r="72" ht="29" customHeight="1">
      <x:c r="A72" s="13" t="str">
        <x:v>Yellow values are editable. The assignment assumes approval for eligible applications. The model assumes an eligible service address and no panel upgrade.</x:v>
      </x:c>
      <x:c r="B72" s="13"/>
      <x:c r="C72" s="13"/>
      <x:c r="D72" s="13"/>
      <x:c r="E72" s="13"/>
    </x:row>
  </x:sheetData>
  <x:mergeCells>
    <x:mergeCell ref="A3:E3"/>
    <x:mergeCell ref="A69:E69"/>
    <x:mergeCell ref="A70:E70"/>
    <x:mergeCell ref="A71:E71"/>
    <x:mergeCell ref="A72:E72"/>
  </x:mergeCells>
  <x:dataValidations count="12">
    <x:dataValidation type="list" sqref="B34">
      <x:formula1>"No approval,Plus approved"</x:formula1>
    </x:dataValidation>
    <x:dataValidation type="decimal" operator="greaterThanOrEqual" sqref="B15">
      <x:formula1>0</x:formula1>
    </x:dataValidation>
    <x:dataValidation type="decimal" operator="greaterThanOrEqual" sqref="B16">
      <x:formula1>0</x:formula1>
    </x:dataValidation>
    <x:dataValidation type="decimal" operator="greaterThanOrEqual" sqref="B17">
      <x:formula1>0.01</x:formula1>
    </x:dataValidation>
    <x:dataValidation type="decimal" operator="greaterThanOrEqual" sqref="B18">
      <x:formula1>0</x:formula1>
    </x:dataValidation>
    <x:dataValidation type="decimal" operator="greaterThanOrEqual" sqref="B20">
      <x:formula1>0</x:formula1>
    </x:dataValidation>
    <x:dataValidation type="decimal" operator="greaterThanOrEqual" sqref="B21">
      <x:formula1>0</x:formula1>
    </x:dataValidation>
    <x:dataValidation type="decimal" operator="greaterThanOrEqual" sqref="B22">
      <x:formula1>0</x:formula1>
    </x:dataValidation>
    <x:dataValidation type="decimal" operator="greaterThanOrEqual" sqref="B28">
      <x:formula1>0</x:formula1>
    </x:dataValidation>
    <x:dataValidation type="decimal" operator="greaterThanOrEqual" sqref="B30">
      <x:formula1>0</x:formula1>
    </x:dataValidation>
    <x:dataValidation type="decimal" operator="greaterThanOrEqual" sqref="B31">
      <x:formula1>0</x:formula1>
    </x:dataValidation>
    <x:dataValidation type="decimal" operator="greaterThanOrEqual" sqref="B32">
      <x:formula1>0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8.1299991607666" hidden="0" customWidth="1"/>
    <x:col min="3" max="3" width="8.130000114440918" hidden="0" customWidth="1"/>
    <x:col min="4" max="4" width="21.75" hidden="0" customWidth="1"/>
    <x:col min="5" max="5" width="11.5" hidden="0" customWidth="1"/>
    <x:col min="6" max="6" width="11.380000114440918" hidden="0" customWidth="1"/>
    <x:col min="7" max="7" width="11" hidden="0" customWidth="1"/>
    <x:col min="8" max="8" width="11.25" hidden="0" customWidth="1"/>
    <x:col min="9" max="9" width="10.380000114440918" hidden="0" customWidth="1"/>
    <x:col min="10" max="10" width="10.630000114440918" hidden="0" customWidth="1"/>
    <x:col min="11" max="11" width="12.75" hidden="0" customWidth="1"/>
    <x:col min="12" max="12" width="31.5" hidden="0" customWidth="1"/>
    <x:col min="13" max="13" width="37.25" hidden="0" customWidth="1"/>
    <x:col min="14" max="14" width="20.1299991607666" hidden="0" customWidth="1"/>
    <x:col min="15" max="15" width="27" hidden="0" customWidth="1"/>
    <x:col min="16" max="16" width="28" hidden="0" customWidth="1"/>
    <x:col min="17" max="17" width="23" hidden="0" customWidth="1"/>
  </x:cols>
  <x:sheetData>
    <x:row r="1">
      <x:c r="A1"/>
      <x:c r="B1"/>
      <x:c r="C1"/>
      <x:c r="D1"/>
      <x:c r="E1"/>
    </x:row>
    <x:row r="2" ht="36" customHeight="1">
      <x:c r="A2" s="291" t="str">
        <x:v>Extra credit  |  Chinese EV comparison</x:v>
      </x:c>
      <x:c r="B2" s="292"/>
      <x:c r="C2" s="292"/>
      <x:c r="D2" s="292"/>
      <x:c r="E2" s="292"/>
      <x:c r="F2" s="292"/>
      <x:c r="G2" s="292"/>
      <x:c r="H2" s="292"/>
      <x:c r="I2" s="292"/>
      <x:c r="J2" s="292"/>
      <x:c r="K2" s="292"/>
      <x:c r="L2" s="292"/>
      <x:c r="M2" s="292"/>
      <x:c r="N2" s="292"/>
      <x:c r="O2"/>
      <x:c r="P2"/>
      <x:c r="Q2"/>
    </x:row>
    <x:row r="3" ht="30" customHeight="1">
      <x:c r="A3" s="80" t="str">
        <x:v>3 models  •  Mexico, South American averages and Chile before-VAT cases  •  November 6, 2026</x:v>
      </x:c>
      <x:c r="B3" s="79"/>
      <x:c r="C3" s="79"/>
      <x:c r="D3" s="79"/>
      <x:c r="E3" s="79"/>
      <x:c r="F3" s="79"/>
      <x:c r="G3" s="79"/>
      <x:c r="H3" s="79"/>
      <x:c r="I3" s="79"/>
      <x:c r="J3" s="79"/>
      <x:c r="K3" s="79"/>
      <x:c r="L3" s="79"/>
      <x:c r="M3" s="79"/>
      <x:c r="N3" s="79"/>
      <x:c r="O3"/>
      <x:c r="P3"/>
      <x:c r="Q3"/>
    </x:row>
    <x:row r="4" ht="30" customHeight="1">
      <x:c r="A4" s="74" t="str">
        <x:v>Prices use the market and tax basis in column N. Regional averages include published local retail taxes. The Chile rows remove documented 19% VAT.</x:v>
      </x:c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  <x:c r="O4"/>
      <x:c r="P4"/>
      <x:c r="Q4"/>
    </x:row>
    <x:row r="5">
      <x:c r="A5" s="74" t="str">
        <x:v>Range uses the cycle in Source notes. Acceleration is 0–100 km/h. Performance refers to the cited Mexican trim. A matching 100-mile charging test is unavailable.</x:v>
      </x:c>
      <x:c r="B5" s="74"/>
      <x:c r="C5" s="74"/>
      <x:c r="D5" s="74"/>
      <x:c r="E5" s="74"/>
      <x:c r="F5" s="74"/>
      <x:c r="G5" s="74"/>
      <x:c r="H5" s="74"/>
      <x:c r="I5" s="74"/>
      <x:c r="J5" s="74"/>
      <x:c r="K5" s="74"/>
      <x:c r="L5" s="74"/>
      <x:c r="M5" s="74"/>
      <x:c r="N5" s="74"/>
      <x:c r="O5"/>
      <x:c r="P5"/>
      <x:c r="Q5"/>
    </x:row>
    <x:row r="6" ht="36" customHeight="1">
      <x:c r="A6" s="74" t="str">
        <x:v>Field IDs link to source URLs and exact locations on Evidence. Original country prices, calculations and qualifications are preserved in Evidence L304:T388.</x:v>
      </x:c>
      <x:c r="B6" s="74"/>
      <x:c r="C6" s="74"/>
      <x:c r="D6" s="74"/>
      <x:c r="E6" s="74"/>
      <x:c r="F6" s="74"/>
      <x:c r="G6" s="74"/>
      <x:c r="H6" s="74"/>
      <x:c r="I6" s="74"/>
      <x:c r="J6" s="74"/>
      <x:c r="K6" s="74"/>
      <x:c r="L6" s="74"/>
      <x:c r="M6" s="74"/>
      <x:c r="N6" s="74"/>
      <x:c r="O6"/>
      <x:c r="P6"/>
      <x:c r="Q6"/>
    </x:row>
    <x:row r="7" ht="36" customHeight="1">
      <x:c r="A7" s="12" t="str">
        <x:v>Make</x:v>
      </x:c>
      <x:c r="B7" s="12" t="str">
        <x:v>Model</x:v>
      </x:c>
      <x:c r="C7" s="12" t="str">
        <x:v>Year</x:v>
      </x:c>
      <x:c r="D7" s="12" t="str">
        <x:v>Trim / drive</x:v>
      </x:c>
      <x:c r="E7" s="12" t="str">
        <x:v>Price before incentives ($)</x:v>
      </x:c>
      <x:c r="F7" s="12" t="str">
        <x:v>Battery (kWh)</x:v>
      </x:c>
      <x:c r="G7" s="12" t="str">
        <x:v>Rated range (mi)</x:v>
      </x:c>
      <x:c r="H7" s="12" t="str">
        <x:v>Efficiency (mi/kWh)</x:v>
      </x:c>
      <x:c r="I7" s="12" t="str">
        <x:v>0–100 km/h (s)</x:v>
      </x:c>
      <x:c r="J7" s="12" t="str">
        <x:v>Peak DC (kW)</x:v>
      </x:c>
      <x:c r="K7" s="12" t="str">
        <x:v>100 mi added (min)</x:v>
      </x:c>
      <x:c r="L7" s="12" t="str">
        <x:v>Field evidence IDs</x:v>
      </x:c>
      <x:c r="M7" s="12" t="str">
        <x:v>Source notes</x:v>
      </x:c>
      <x:c r="N7" s="12" t="str">
        <x:v>Market / price basis</x:v>
      </x:c>
      <x:c r="O7" s="12" t="str">
        <x:v>If SJCE eligible ($)</x:v>
      </x:c>
      <x:c r="P7" s="12" t="str">
        <x:v>If both eligible ($)</x:v>
      </x:c>
      <x:c r="Q7" s="12" t="str">
        <x:v>Price evidence IDs</x:v>
      </x:c>
    </x:row>
    <x:row r="8" ht="70" customHeight="1">
      <x:c r="A8" s="294" t="str">
        <x:v>MG (SAIC)</x:v>
      </x:c>
      <x:c r="B8" s="294" t="str">
        <x:v>MG4</x:v>
      </x:c>
      <x:c r="C8" s="294" t="n">
        <x:v>2025</x:v>
      </x:c>
      <x:c r="D8" s="294" t="str">
        <x:v>Extended Range AT</x:v>
      </x:c>
      <x:c r="E8" s="300" t="n">
        <x:f>'Evidence'!M327</x:f>
        <x:v>32541.26435368988</x:v>
      </x:c>
      <x:c r="F8" s="297" t="n">
        <x:f>'Evidence'!M314</x:f>
        <x:v>77</x:v>
      </x:c>
      <x:c r="G8" s="298" t="n">
        <x:f>'Evidence'!M317</x:f>
        <x:v>323.11301996341365</x:v>
      </x:c>
      <x:c r="H8" s="297" t="n">
        <x:f>G8/F8</x:f>
        <x:v>4.196272986537839</x:v>
      </x:c>
      <x:c r="I8" s="298" t="n">
        <x:f>'Evidence'!M319</x:f>
        <x:v>6.5</x:v>
      </x:c>
      <x:c r="J8" s="296" t="n">
        <x:f>'Evidence'!M321</x:f>
        <x:v>144</x:v>
      </x:c>
      <x:c r="K8" s="297" t="str">
        <x:v>n.a.</x:v>
      </x:c>
      <x:c r="L8" s="294" t="str">
        <x:v>Battery/range/0–100/DC X04 · NCAP X05 · USD X01 · ownership X14/X15</x:v>
      </x:c>
      <x:c r="M8" s="294" t="str">
        <x:v>British-origin brand, SAIC-owned since 2007. WLTP. Compact hatchback, 350 L cargo, 180 kW. Five-star Euro NCAP (2022). DC 38 min, 10–80%.</x:v>
      </x:c>
      <x:c r="N8" s="294" t="str">
        <x:v>Mexico sticker</x:v>
      </x:c>
      <x:c r="O8" s="300" t="n">
        <x:f>'Evidence'!M329</x:f>
        <x:v>29541.26435368988</x:v>
      </x:c>
      <x:c r="P8" s="300" t="n">
        <x:f>'Evidence'!M330</x:f>
        <x:v>26041.26435368988</x:v>
      </x:c>
      <x:c r="Q8" s="294" t="str">
        <x:v>X01/X02/X03</x:v>
      </x:c>
    </x:row>
    <x:row r="9" ht="64" customHeight="1">
      <x:c r="A9" s="301" t="str">
        <x:v>Geely</x:v>
      </x:c>
      <x:c r="B9" s="301" t="str">
        <x:v>EX5</x:v>
      </x:c>
      <x:c r="C9" s="301" t="n">
        <x:v>2026</x:v>
      </x:c>
      <x:c r="D9" s="301" t="str">
        <x:v>GF FWD</x:v>
      </x:c>
      <x:c r="E9" s="307" t="n">
        <x:f>'Evidence'!N327</x:f>
        <x:v>37398.408737516496</x:v>
      </x:c>
      <x:c r="F9" s="304" t="n">
        <x:f>'Evidence'!N314</x:f>
        <x:v>60.22</x:v>
      </x:c>
      <x:c r="G9" s="305" t="n">
        <x:f>'Evidence'!N317</x:f>
        <x:v>292.04446035154695</x:v>
      </x:c>
      <x:c r="H9" s="304" t="n">
        <x:f>G9/F9</x:f>
        <x:v>4.84962571158331</x:v>
      </x:c>
      <x:c r="I9" s="305" t="n">
        <x:f>'Evidence'!N319</x:f>
        <x:v>7.1</x:v>
      </x:c>
      <x:c r="J9" s="303" t="n">
        <x:f>'Evidence'!N321</x:f>
        <x:v>100</x:v>
      </x:c>
      <x:c r="K9" s="304" t="str">
        <x:v>n.a.</x:v>
      </x:c>
      <x:c r="L9" s="301" t="str">
        <x:v>Battery/range/0–100 X07 · DC X08 · NCAP X09 · USD X01</x:v>
      </x:c>
      <x:c r="M9" s="301" t="str">
        <x:v>NEDC. Compact crossover, 461 L cargo, 160 kW. Five-star Euro NCAP (2025). DC 20 min, 30–80%. Peak kW from Australia.</x:v>
      </x:c>
      <x:c r="N9" s="301" t="str">
        <x:v>Mexico sticker</x:v>
      </x:c>
      <x:c r="O9" s="307" t="n">
        <x:f>'Evidence'!N329</x:f>
        <x:v>34398.408737516496</x:v>
      </x:c>
      <x:c r="P9" s="307" t="n">
        <x:f>'Evidence'!N330</x:f>
        <x:v>30898.408737516496</x:v>
      </x:c>
      <x:c r="Q9" s="301" t="str">
        <x:v>X01/X06</x:v>
      </x:c>
    </x:row>
    <x:row r="10" ht="64" customHeight="1">
      <x:c r="A10" s="294" t="str">
        <x:v>BYD</x:v>
      </x:c>
      <x:c r="B10" s="294" t="str">
        <x:v>Yuan Plus</x:v>
      </x:c>
      <x:c r="C10" s="294" t="str">
        <x:v>Not stated</x:v>
      </x:c>
      <x:c r="D10" s="294" t="str">
        <x:v>480 km EV FWD</x:v>
      </x:c>
      <x:c r="E10" s="300" t="n">
        <x:f>'Evidence'!O327</x:f>
        <x:v>42693.7113605882</x:v>
      </x:c>
      <x:c r="F10" s="297" t="n">
        <x:f>'Evidence'!O314</x:f>
        <x:v>60.48</x:v>
      </x:c>
      <x:c r="G10" s="298" t="n">
        <x:f>'Evidence'!O317</x:f>
        <x:v>298.2581722739203</x:v>
      </x:c>
      <x:c r="H10" s="297" t="n">
        <x:f>G10/F10</x:f>
        <x:v>4.931517398709</x:v>
      </x:c>
      <x:c r="I10" s="298" t="n">
        <x:f>'Evidence'!O319</x:f>
        <x:v>7.3</x:v>
      </x:c>
      <x:c r="J10" s="296" t="n">
        <x:f>'Evidence'!O321</x:f>
        <x:v>80</x:v>
      </x:c>
      <x:c r="K10" s="297" t="str">
        <x:v>n.a.</x:v>
      </x:c>
      <x:c r="L10" s="294" t="str">
        <x:v>Battery/range/0–100/DC X11 · NCAP X12 · USD X01</x:v>
      </x:c>
      <x:c r="M10" s="294" t="str">
        <x:v>NEDC. Compact crossover, 440 L cargo (312 L with spare), 150 kW. Five-star Euro NCAP (2022). DC 30 min, 30–80%.</x:v>
      </x:c>
      <x:c r="N10" s="294" t="str">
        <x:v>Mexico sticker</x:v>
      </x:c>
      <x:c r="O10" s="300" t="n">
        <x:f>'Evidence'!O329</x:f>
        <x:v>39693.7113605882</x:v>
      </x:c>
      <x:c r="P10" s="300" t="n">
        <x:f>'Evidence'!O330</x:f>
        <x:v>36193.7113605882</x:v>
      </x:c>
      <x:c r="Q10" s="294" t="str">
        <x:v>X01/X10/X13</x:v>
      </x:c>
    </x:row>
    <x:row r="11" ht="70" customHeight="1">
      <x:c r="A11" s="301" t="str">
        <x:v>MG (SAIC)</x:v>
      </x:c>
      <x:c r="B11" s="301" t="str">
        <x:v>MG4</x:v>
      </x:c>
      <x:c r="C11" s="301" t="str">
        <x:v>Varies</x:v>
      </x:c>
      <x:c r="D11" s="301" t="str">
        <x:v>Extended Range AT</x:v>
      </x:c>
      <x:c r="E11" s="307" t="n">
        <x:f>'Evidence'!O361</x:f>
        <x:v>35423.72649185326</x:v>
      </x:c>
      <x:c r="F11" s="304" t="n">
        <x:f>'Evidence'!M314</x:f>
        <x:v>77</x:v>
      </x:c>
      <x:c r="G11" s="305" t="n">
        <x:f>'Evidence'!M317</x:f>
        <x:v>323.11301996341365</x:v>
      </x:c>
      <x:c r="H11" s="304" t="n">
        <x:f>G11/F11</x:f>
        <x:v>4.196272986537839</x:v>
      </x:c>
      <x:c r="I11" s="305" t="n">
        <x:f>'Evidence'!M319</x:f>
        <x:v>6.5</x:v>
      </x:c>
      <x:c r="J11" s="303" t="n">
        <x:f>'Evidence'!M321</x:f>
        <x:v>144</x:v>
      </x:c>
      <x:c r="K11" s="304" t="str">
        <x:v>n.a.</x:v>
      </x:c>
      <x:c r="L11" s="301" t="str">
        <x:v>Battery/range/0–100/DC X04 · NCAP X05 · USD X01 · ownership X14/X15</x:v>
      </x:c>
      <x:c r="M11" s="301" t="str">
        <x:v>British-origin brand, SAIC-owned since 2007. WLTP. Compact hatchback, 350 L cargo, 180 kW. Five-star Euro NCAP (2022). DC 38 min, 10–80%.</x:v>
      </x:c>
      <x:c r="N11" s="301" t="str">
        <x:v>South America mean · 2 countries</x:v>
      </x:c>
      <x:c r="O11" s="307" t="n">
        <x:f>'Evidence'!Q361</x:f>
        <x:v>32423.72649185326</x:v>
      </x:c>
      <x:c r="P11" s="307" t="n">
        <x:f>'Evidence'!R361</x:f>
        <x:v>28923.72649185326</x:v>
      </x:c>
      <x:c r="Q11" s="301" t="str">
        <x:v>S01/S03/S04</x:v>
      </x:c>
    </x:row>
    <x:row r="12" ht="64" customHeight="1">
      <x:c r="A12" s="294" t="str">
        <x:v>Geely</x:v>
      </x:c>
      <x:c r="B12" s="294" t="str">
        <x:v>EX5</x:v>
      </x:c>
      <x:c r="C12" s="294" t="str">
        <x:v>Varies</x:v>
      </x:c>
      <x:c r="D12" s="294" t="str">
        <x:v>GF FWD</x:v>
      </x:c>
      <x:c r="E12" s="300" t="n">
        <x:f>'Evidence'!O362</x:f>
        <x:v>31367.127208315585</x:v>
      </x:c>
      <x:c r="F12" s="297" t="n">
        <x:f>'Evidence'!N314</x:f>
        <x:v>60.22</x:v>
      </x:c>
      <x:c r="G12" s="298" t="n">
        <x:f>'Evidence'!N317</x:f>
        <x:v>292.04446035154695</x:v>
      </x:c>
      <x:c r="H12" s="297" t="n">
        <x:f>G12/F12</x:f>
        <x:v>4.84962571158331</x:v>
      </x:c>
      <x:c r="I12" s="298" t="n">
        <x:f>'Evidence'!N319</x:f>
        <x:v>7.1</x:v>
      </x:c>
      <x:c r="J12" s="296" t="n">
        <x:f>'Evidence'!N321</x:f>
        <x:v>100</x:v>
      </x:c>
      <x:c r="K12" s="297" t="str">
        <x:v>n.a.</x:v>
      </x:c>
      <x:c r="L12" s="294" t="str">
        <x:v>Battery/range/0–100 X07 · DC X08 · NCAP X09 · USD X01</x:v>
      </x:c>
      <x:c r="M12" s="294" t="str">
        <x:v>NEDC. Compact crossover, 461 L cargo, 160 kW. Five-star Euro NCAP (2025). DC 20 min, 30–80%. Peak kW from Australia.</x:v>
      </x:c>
      <x:c r="N12" s="294" t="str">
        <x:v>South America mean · 4 countries</x:v>
      </x:c>
      <x:c r="O12" s="300" t="n">
        <x:f>'Evidence'!Q362</x:f>
        <x:v>28367.127208315585</x:v>
      </x:c>
      <x:c r="P12" s="300" t="n">
        <x:f>'Evidence'!R362</x:f>
        <x:v>24867.127208315585</x:v>
      </x:c>
      <x:c r="Q12" s="294" t="str">
        <x:v>S01/S02/S05–S11</x:v>
      </x:c>
    </x:row>
    <x:row r="13" ht="64" customHeight="1">
      <x:c r="A13" s="301" t="str">
        <x:v>BYD</x:v>
      </x:c>
      <x:c r="B13" s="301" t="str">
        <x:v>Yuan Plus</x:v>
      </x:c>
      <x:c r="C13" s="301" t="str">
        <x:v>Varies</x:v>
      </x:c>
      <x:c r="D13" s="301" t="str">
        <x:v>480 km EV FWD</x:v>
      </x:c>
      <x:c r="E13" s="307" t="n">
        <x:f>'Evidence'!O363</x:f>
        <x:v>29121.45477578429</x:v>
      </x:c>
      <x:c r="F13" s="304" t="n">
        <x:f>'Evidence'!O314</x:f>
        <x:v>60.48</x:v>
      </x:c>
      <x:c r="G13" s="305" t="n">
        <x:f>'Evidence'!O317</x:f>
        <x:v>298.2581722739203</x:v>
      </x:c>
      <x:c r="H13" s="304" t="n">
        <x:f>G13/F13</x:f>
        <x:v>4.931517398709</x:v>
      </x:c>
      <x:c r="I13" s="305" t="n">
        <x:f>'Evidence'!O319</x:f>
        <x:v>7.3</x:v>
      </x:c>
      <x:c r="J13" s="303" t="n">
        <x:f>'Evidence'!O321</x:f>
        <x:v>80</x:v>
      </x:c>
      <x:c r="K13" s="304" t="str">
        <x:v>n.a.</x:v>
      </x:c>
      <x:c r="L13" s="301" t="str">
        <x:v>Battery/range/0–100/DC X11 · NCAP X12 · USD X01</x:v>
      </x:c>
      <x:c r="M13" s="301" t="str">
        <x:v>NEDC. Compact crossover, 440 L cargo (312 L with spare), 150 kW. Five-star Euro NCAP (2022). DC 30 min, 30–80%.</x:v>
      </x:c>
      <x:c r="N13" s="301" t="str">
        <x:v>South America mean · 2 countries</x:v>
      </x:c>
      <x:c r="O13" s="307" t="n">
        <x:f>'Evidence'!Q363</x:f>
        <x:v>26121.45477578429</x:v>
      </x:c>
      <x:c r="P13" s="307" t="n">
        <x:f>'Evidence'!R363</x:f>
        <x:v>22621.45477578429</x:v>
      </x:c>
      <x:c r="Q13" s="301" t="str">
        <x:v>S01/S12–S14</x:v>
      </x:c>
    </x:row>
    <x:row r="14" ht="70" customHeight="1">
      <x:c r="A14" s="294" t="str">
        <x:v>MG (SAIC)</x:v>
      </x:c>
      <x:c r="B14" s="294" t="str">
        <x:v>MG4</x:v>
      </x:c>
      <x:c r="C14" s="294" t="n">
        <x:v>2025</x:v>
      </x:c>
      <x:c r="D14" s="294" t="str">
        <x:v>Extended Range AT</x:v>
      </x:c>
      <x:c r="E14" s="300" t="n">
        <x:f>'Evidence'!P380</x:f>
        <x:v>27686.93528042564</x:v>
      </x:c>
      <x:c r="F14" s="297" t="n">
        <x:f>'Evidence'!M314</x:f>
        <x:v>77</x:v>
      </x:c>
      <x:c r="G14" s="298" t="n">
        <x:f>'Evidence'!M317</x:f>
        <x:v>323.11301996341365</x:v>
      </x:c>
      <x:c r="H14" s="297" t="n">
        <x:f>G14/F14</x:f>
        <x:v>4.196272986537839</x:v>
      </x:c>
      <x:c r="I14" s="298" t="n">
        <x:f>'Evidence'!M319</x:f>
        <x:v>6.5</x:v>
      </x:c>
      <x:c r="J14" s="296" t="n">
        <x:f>'Evidence'!M321</x:f>
        <x:v>144</x:v>
      </x:c>
      <x:c r="K14" s="297" t="str">
        <x:v>n.a.</x:v>
      </x:c>
      <x:c r="L14" s="294" t="str">
        <x:v>Battery/range/0–100/DC X04 · NCAP X05 · USD X01 · ownership X14/X15</x:v>
      </x:c>
      <x:c r="M14" s="294" t="str">
        <x:v>British-origin brand, SAIC-owned since 2007. WLTP. Compact hatchback, 350 L cargo, 180 kW. Five-star Euro NCAP (2022). DC 38 min, 10–80%.</x:v>
      </x:c>
      <x:c r="N14" s="294" t="str">
        <x:v>Chile · before VAT</x:v>
      </x:c>
      <x:c r="O14" s="300" t="n">
        <x:f>'Evidence'!Q380</x:f>
        <x:v>24686.93528042564</x:v>
      </x:c>
      <x:c r="P14" s="300" t="n">
        <x:f>'Evidence'!R380</x:f>
        <x:v>21186.93528042564</x:v>
      </x:c>
      <x:c r="Q14" s="294" t="str">
        <x:v>S01/S03/S21/S22</x:v>
      </x:c>
    </x:row>
    <x:row r="15" ht="64" customHeight="1">
      <x:c r="A15" s="301" t="str">
        <x:v>BYD</x:v>
      </x:c>
      <x:c r="B15" s="301" t="str">
        <x:v>Yuan Plus</x:v>
      </x:c>
      <x:c r="C15" s="301" t="n">
        <x:v>2027</x:v>
      </x:c>
      <x:c r="D15" s="301" t="str">
        <x:v>480 km EV FWD</x:v>
      </x:c>
      <x:c r="E15" s="307" t="n">
        <x:f>'Evidence'!P381</x:f>
        <x:v>22061.2685307299</x:v>
      </x:c>
      <x:c r="F15" s="304" t="n">
        <x:f>'Evidence'!O314</x:f>
        <x:v>60.48</x:v>
      </x:c>
      <x:c r="G15" s="305" t="n">
        <x:f>'Evidence'!O317</x:f>
        <x:v>298.2581722739203</x:v>
      </x:c>
      <x:c r="H15" s="304" t="n">
        <x:f>G15/F15</x:f>
        <x:v>4.931517398709</x:v>
      </x:c>
      <x:c r="I15" s="305" t="n">
        <x:f>'Evidence'!O319</x:f>
        <x:v>7.3</x:v>
      </x:c>
      <x:c r="J15" s="303" t="n">
        <x:f>'Evidence'!O321</x:f>
        <x:v>80</x:v>
      </x:c>
      <x:c r="K15" s="304" t="str">
        <x:v>n.a.</x:v>
      </x:c>
      <x:c r="L15" s="301" t="str">
        <x:v>Battery/range/0–100/DC X11 · NCAP X12 · USD X01</x:v>
      </x:c>
      <x:c r="M15" s="301" t="str">
        <x:v>NEDC. Compact crossover, 440 L cargo (312 L with spare), 150 kW. Five-star Euro NCAP (2022). DC 30 min, 30–80%.</x:v>
      </x:c>
      <x:c r="N15" s="301" t="str">
        <x:v>Chile · before VAT · MY2027 price</x:v>
      </x:c>
      <x:c r="O15" s="307" t="n">
        <x:f>'Evidence'!Q381</x:f>
        <x:v>19061.2685307299</x:v>
      </x:c>
      <x:c r="P15" s="307" t="n">
        <x:f>'Evidence'!R381</x:f>
        <x:v>15561.2685307299</x:v>
      </x:c>
      <x:c r="Q15" s="301" t="str">
        <x:v>S01/S12/S13/S21/S23</x:v>
      </x:c>
    </x:row>
    <x:row r="16" ht="33" customHeight="1">
      <x:c r="A16"/>
      <x:c r="B16"/>
      <x:c r="C16"/>
      <x:c r="D16"/>
      <x:c r="E16"/>
      <x:c r="F16"/>
      <x:c r="G16"/>
      <x:c r="H16"/>
      <x:c r="I16"/>
    </x:row>
    <x:row r="17" ht="27" customHeight="1">
      <x:c r="A17" s="229" t="str">
        <x:v>Regional averages give each sampled country equal weight. Models and battery sizes are matched, while equipment and range standards can vary across markets. Specifications above use the Mexican reference trim.</x:v>
      </x:c>
      <x:c r="B17" s="229"/>
      <x:c r="C17" s="229"/>
      <x:c r="D17" s="229"/>
      <x:c r="E17" s="229"/>
      <x:c r="F17" s="229"/>
      <x:c r="G17" s="229"/>
      <x:c r="H17" s="229"/>
      <x:c r="I17" s="229"/>
      <x:c r="J17" s="229"/>
      <x:c r="K17" s="229"/>
      <x:c r="L17" s="229"/>
      <x:c r="M17" s="229"/>
      <x:c r="N17" s="229"/>
      <x:c r="O17" s="229"/>
      <x:c r="P17" s="229"/>
      <x:c r="Q17" s="229"/>
    </x:row>
    <x:row r="18" ht="27" customHeight="1">
      <x:c r="A18" s="229" t="str">
        <x:v>Eligible applications are assumed approved. The hypothetical U.S. cases still require eligible vehicles and sellers. The 2025 Mexican MG4 needs a qualifying 2026-or-newer successor at the same price for MyFirstEV (P08–P14/P39/P52).</x:v>
      </x:c>
      <x:c r="B18" s="229"/>
      <x:c r="C18" s="229"/>
      <x:c r="D18" s="229"/>
      <x:c r="E18" s="229"/>
      <x:c r="F18" s="229"/>
      <x:c r="G18" s="229"/>
      <x:c r="H18" s="229"/>
      <x:c r="I18" s="229"/>
      <x:c r="J18" s="229"/>
      <x:c r="K18" s="229"/>
      <x:c r="L18" s="229"/>
      <x:c r="M18" s="229"/>
      <x:c r="N18" s="229"/>
      <x:c r="O18" s="229"/>
      <x:c r="P18" s="229"/>
      <x:c r="Q18" s="229"/>
    </x:row>
    <x:row r="19" ht="27" customHeight="1">
      <x:c r="A19" s="229" t="str">
        <x:f>"The Bolt's modeled net price is "&amp;TEXT('Part 2 Incentives'!M16,"$#,##0")&amp;". The Chinese models cost more at Mexican list prices and at the sampled country averages. Before Chilean VAT, MG4 Extended Range is "&amp;TEXT(P14,"$#,##0")&amp;" and Yuan Plus is "&amp;TEXT(P15,"$#,##0")&amp;" with both hypothetical rebates."</x:f>
        <x:v>The Bolt's modeled net price is $22,495. The Chinese models cost more at Mexican list prices and at the sampled country averages. Before Chilean VAT, MG4 Extended Range is $21,187 and Yuan Plus is $15,561 with both hypothetical rebates.</x:v>
      </x:c>
      <x:c r="B19" s="229"/>
      <x:c r="C19" s="229"/>
      <x:c r="D19" s="229"/>
      <x:c r="E19" s="229"/>
      <x:c r="F19" s="229"/>
      <x:c r="G19" s="229"/>
      <x:c r="H19" s="229"/>
      <x:c r="I19" s="229"/>
      <x:c r="J19" s="229"/>
      <x:c r="K19" s="229"/>
      <x:c r="L19" s="229"/>
      <x:c r="M19" s="229"/>
      <x:c r="N19" s="229"/>
      <x:c r="O19" s="229"/>
      <x:c r="P19" s="229"/>
      <x:c r="Q19" s="229"/>
    </x:row>
    <x:row r="20" ht="27" customHeight="1">
      <x:c r="A20" s="229" t="str">
        <x:f>"Other price sensitivities remain in Evidence. The MG4 Mexican promotion is "&amp;TEXT('Evidence'!M332,"$#,##0")&amp;" before rebates and "&amp;TEXT('Evidence'!M334,"$#,##0")&amp;" after both. The Chilean MG4 Standard (51 kWh, 350 km WLTP) is "&amp;TEXT('Evidence'!R382,"$#,##0")&amp;" before local VAT and after both rebates (S21/S22/S24)."</x:f>
        <x:v>Other price sensitivities remain in Evidence. The MG4 Mexican promotion is $27,732 before rebates and $21,232 after both. The Chilean MG4 Standard (51 kWh, 350 km WLTP) is $16,859 before local VAT and after both rebates (S21/S22/S24).</x:v>
      </x:c>
      <x:c r="B20" s="229"/>
      <x:c r="C20" s="229"/>
      <x:c r="D20" s="229"/>
      <x:c r="E20" s="229"/>
      <x:c r="F20" s="229"/>
      <x:c r="G20" s="229"/>
      <x:c r="H20" s="229"/>
      <x:c r="I20" s="229"/>
      <x:c r="J20" s="229"/>
      <x:c r="K20" s="229"/>
      <x:c r="L20" s="229"/>
      <x:c r="M20" s="229"/>
      <x:c r="N20" s="229"/>
      <x:c r="O20" s="229"/>
      <x:c r="P20" s="229"/>
      <x:c r="Q20" s="229"/>
    </x:row>
    <x:row r="21" ht="27" customHeight="1">
      <x:c r="A21" s="229" t="str">
        <x:v>Sources X01–X15 and S01–S24 retain their URLs, page/section locators and check dates in Evidence rows 265–303. The eight country observations and their averages are in Evidence L350:T364.</x:v>
      </x:c>
      <x:c r="B21" s="229"/>
      <x:c r="C21" s="229"/>
      <x:c r="D21" s="229"/>
      <x:c r="E21" s="229"/>
      <x:c r="F21" s="229"/>
      <x:c r="G21" s="229"/>
      <x:c r="H21" s="229"/>
      <x:c r="I21" s="229"/>
      <x:c r="J21" s="229"/>
      <x:c r="K21" s="229"/>
      <x:c r="L21" s="229"/>
      <x:c r="M21" s="229"/>
      <x:c r="N21" s="229"/>
      <x:c r="O21" s="229"/>
      <x:c r="P21" s="229"/>
      <x:c r="Q21" s="229"/>
    </x:row>
    <x:row r="22" ht="27" customHeight="1">
      <x:c r="A22" s="229" t="str">
        <x:v>Charging windows are retained in Source notes. The original calculations also retain the Uruguay lower-price reference, Chile MG4 brand offer, cargo qualifications and rating limitations.</x:v>
      </x:c>
      <x:c r="B22" s="229"/>
      <x:c r="C22" s="229"/>
      <x:c r="D22" s="229"/>
      <x:c r="E22" s="229"/>
      <x:c r="F22" s="229"/>
      <x:c r="G22" s="229"/>
      <x:c r="H22" s="229"/>
      <x:c r="I22" s="229"/>
      <x:c r="J22" s="229"/>
      <x:c r="K22" s="229"/>
      <x:c r="L22" s="229"/>
      <x:c r="M22" s="229"/>
      <x:c r="N22" s="229"/>
      <x:c r="O22" s="229"/>
      <x:c r="P22" s="229"/>
      <x:c r="Q22" s="229"/>
    </x:row>
    <x:row r="23" ht="36" customHeight="1">
      <x:c r="A23"/>
      <x:c r="B23"/>
      <x:c r="C23"/>
      <x:c r="D23"/>
      <x:c r="E23"/>
      <x:c r="F23"/>
      <x:c r="G23"/>
      <x:c r="H23"/>
      <x:c r="I23"/>
    </x:row>
    <x:row r="24" ht="36" customHeight="1">
      <x:c r="A24"/>
      <x:c r="B24"/>
      <x:c r="C24"/>
      <x:c r="D24"/>
      <x:c r="E24"/>
      <x:c r="F24"/>
      <x:c r="G24"/>
      <x:c r="H24"/>
      <x:c r="I24"/>
    </x:row>
    <x:row r="25" ht="42" customHeight="1">
      <x:c r="A25"/>
      <x:c r="B25"/>
      <x:c r="C25"/>
      <x:c r="D25"/>
      <x:c r="E25"/>
      <x:c r="F25"/>
      <x:c r="G25"/>
      <x:c r="H25"/>
      <x:c r="I25"/>
    </x:row>
    <x:row r="26" ht="36" customHeight="1">
      <x:c r="A26"/>
      <x:c r="B26"/>
      <x:c r="C26"/>
      <x:c r="D26"/>
      <x:c r="E26"/>
      <x:c r="F26"/>
      <x:c r="G26"/>
      <x:c r="H26"/>
      <x:c r="I26"/>
    </x:row>
    <x:row r="27" ht="55" customHeight="1">
      <x:c r="A27"/>
      <x:c r="B27"/>
      <x:c r="C27"/>
      <x:c r="D27"/>
      <x:c r="E27"/>
      <x:c r="F27"/>
      <x:c r="G27"/>
      <x:c r="H27"/>
      <x:c r="I27"/>
    </x:row>
    <x:row r="28" ht="36" customHeight="1">
      <x:c r="A28"/>
      <x:c r="B28"/>
      <x:c r="C28"/>
      <x:c r="D28"/>
      <x:c r="E28"/>
      <x:c r="F28"/>
      <x:c r="G28"/>
      <x:c r="H28"/>
      <x:c r="I28"/>
    </x:row>
    <x:row r="29" ht="36" customHeight="1">
      <x:c r="A29"/>
      <x:c r="B29"/>
      <x:c r="C29"/>
      <x:c r="D29"/>
      <x:c r="E29"/>
      <x:c r="F29"/>
      <x:c r="G29"/>
      <x:c r="H29"/>
      <x:c r="I29"/>
    </x:row>
    <x:row r="30" ht="36" customHeight="1">
      <x:c r="A30"/>
      <x:c r="B30"/>
      <x:c r="C30"/>
      <x:c r="D30"/>
      <x:c r="E30"/>
      <x:c r="F30"/>
      <x:c r="G30"/>
      <x:c r="H30"/>
      <x:c r="I30"/>
    </x:row>
    <x:row r="31" ht="36" customHeight="1">
      <x:c r="A31"/>
      <x:c r="B31"/>
      <x:c r="C31"/>
      <x:c r="D31"/>
      <x:c r="E31"/>
      <x:c r="F31"/>
      <x:c r="G31"/>
      <x:c r="H31"/>
      <x:c r="I31"/>
    </x:row>
    <x:row r="32" ht="36" customHeight="1">
      <x:c r="A32"/>
      <x:c r="B32"/>
      <x:c r="C32"/>
      <x:c r="D32"/>
      <x:c r="E32"/>
      <x:c r="F32"/>
      <x:c r="G32"/>
      <x:c r="H32"/>
      <x:c r="I32"/>
    </x:row>
    <x:row r="33" ht="36" customHeight="1">
      <x:c r="A33"/>
      <x:c r="B33"/>
      <x:c r="C33"/>
      <x:c r="D33"/>
      <x:c r="E33"/>
      <x:c r="F33"/>
      <x:c r="G33"/>
      <x:c r="H33"/>
      <x:c r="I33"/>
    </x:row>
    <x:row r="34">
      <x:c r="A34"/>
      <x:c r="B34"/>
      <x:c r="C34"/>
      <x:c r="D34"/>
      <x:c r="E34"/>
    </x:row>
    <x:row r="35" ht="28" customHeight="1">
      <x:c r="A35"/>
      <x:c r="B35"/>
      <x:c r="C35"/>
      <x:c r="D35"/>
      <x:c r="E35"/>
      <x:c r="F35"/>
      <x:c r="G35"/>
      <x:c r="H35"/>
      <x:c r="I35"/>
    </x:row>
    <x:row r="36" ht="35" customHeight="1">
      <x:c r="A36"/>
      <x:c r="B36"/>
      <x:c r="C36"/>
      <x:c r="D36"/>
      <x:c r="E36"/>
      <x:c r="F36"/>
      <x:c r="G36"/>
      <x:c r="H36"/>
      <x:c r="I36"/>
    </x:row>
    <x:row r="37" ht="42" customHeight="1">
      <x:c r="A37"/>
      <x:c r="B37"/>
      <x:c r="C37"/>
      <x:c r="D37"/>
      <x:c r="E37"/>
      <x:c r="F37"/>
      <x:c r="G37"/>
      <x:c r="H37"/>
      <x:c r="I37"/>
    </x:row>
    <x:row r="41">
      <x:c r="A41"/>
      <x:c r="B41"/>
      <x:c r="C41"/>
      <x:c r="D41"/>
      <x:c r="E41"/>
      <x:c r="F41"/>
      <x:c r="G41"/>
      <x:c r="H41"/>
      <x:c r="I41"/>
    </x:row>
    <x:row r="42" ht="32" customHeight="1">
      <x:c r="A42"/>
      <x:c r="B42"/>
      <x:c r="C42"/>
      <x:c r="D42"/>
      <x:c r="E42"/>
      <x:c r="F42"/>
      <x:c r="G42"/>
      <x:c r="H42"/>
      <x:c r="I42"/>
    </x:row>
    <x:row r="43" ht="30" customHeight="1">
      <x:c r="A43"/>
      <x:c r="B43"/>
      <x:c r="C43"/>
      <x:c r="D43"/>
      <x:c r="E43"/>
      <x:c r="F43"/>
      <x:c r="G43"/>
      <x:c r="H43"/>
      <x:c r="I43"/>
    </x:row>
    <x:row r="44" ht="30" customHeight="1">
      <x:c r="A44"/>
      <x:c r="B44"/>
      <x:c r="C44"/>
      <x:c r="D44"/>
      <x:c r="E44"/>
      <x:c r="F44"/>
      <x:c r="G44"/>
      <x:c r="H44"/>
      <x:c r="I44"/>
    </x:row>
    <x:row r="45">
      <x:c r="A45"/>
      <x:c r="B45"/>
      <x:c r="C45"/>
      <x:c r="D45"/>
      <x:c r="E45"/>
      <x:c r="F45"/>
      <x:c r="G45"/>
      <x:c r="H45"/>
      <x:c r="I45"/>
    </x:row>
    <x:row r="46" ht="40" customHeight="1">
      <x:c r="A46"/>
      <x:c r="B46"/>
      <x:c r="C46"/>
      <x:c r="D46"/>
      <x:c r="E46"/>
      <x:c r="F46"/>
      <x:c r="G46"/>
      <x:c r="H46"/>
      <x:c r="I46"/>
    </x:row>
    <x:row r="47" ht="39" customHeight="1">
      <x:c r="A47"/>
      <x:c r="B47"/>
      <x:c r="C47"/>
      <x:c r="D47"/>
      <x:c r="E47"/>
      <x:c r="F47"/>
      <x:c r="G47"/>
      <x:c r="H47"/>
      <x:c r="I47"/>
    </x:row>
    <x:row r="48" ht="39" customHeight="1">
      <x:c r="A48"/>
      <x:c r="B48"/>
      <x:c r="C48"/>
      <x:c r="D48"/>
      <x:c r="E48"/>
      <x:c r="F48"/>
      <x:c r="G48"/>
      <x:c r="H48"/>
      <x:c r="I48"/>
    </x:row>
    <x:row r="49" ht="39" customHeight="1">
      <x:c r="A49"/>
      <x:c r="B49"/>
      <x:c r="C49"/>
      <x:c r="D49"/>
      <x:c r="E49"/>
      <x:c r="F49"/>
      <x:c r="G49"/>
      <x:c r="H49"/>
      <x:c r="I49"/>
    </x:row>
    <x:row r="50" ht="39" customHeight="1">
      <x:c r="A50"/>
      <x:c r="B50"/>
      <x:c r="C50"/>
      <x:c r="D50"/>
      <x:c r="E50"/>
      <x:c r="F50"/>
      <x:c r="G50"/>
      <x:c r="H50"/>
      <x:c r="I50"/>
    </x:row>
    <x:row r="51" ht="39" customHeight="1">
      <x:c r="A51"/>
      <x:c r="B51"/>
      <x:c r="C51"/>
      <x:c r="D51"/>
      <x:c r="E51"/>
      <x:c r="F51"/>
      <x:c r="G51"/>
      <x:c r="H51"/>
      <x:c r="I51"/>
    </x:row>
    <x:row r="52" ht="39" customHeight="1">
      <x:c r="A52"/>
      <x:c r="B52"/>
      <x:c r="C52"/>
      <x:c r="D52"/>
      <x:c r="E52"/>
      <x:c r="F52"/>
      <x:c r="G52"/>
      <x:c r="H52"/>
      <x:c r="I52"/>
    </x:row>
    <x:row r="53" ht="39" customHeight="1">
      <x:c r="A53"/>
      <x:c r="B53"/>
      <x:c r="C53"/>
      <x:c r="D53"/>
      <x:c r="E53"/>
      <x:c r="F53"/>
      <x:c r="G53"/>
      <x:c r="H53"/>
      <x:c r="I53"/>
    </x:row>
    <x:row r="54" ht="39" customHeight="1">
      <x:c r="A54"/>
      <x:c r="B54"/>
      <x:c r="C54"/>
      <x:c r="D54"/>
      <x:c r="E54"/>
      <x:c r="F54"/>
      <x:c r="G54"/>
      <x:c r="H54"/>
      <x:c r="I54"/>
    </x:row>
    <x:row r="55">
      <x:c r="A55"/>
      <x:c r="B55"/>
      <x:c r="C55"/>
      <x:c r="D55"/>
      <x:c r="E55"/>
      <x:c r="F55"/>
      <x:c r="G55"/>
      <x:c r="H55"/>
      <x:c r="I55"/>
    </x:row>
    <x:row r="56" ht="30" customHeight="1">
      <x:c r="A56"/>
      <x:c r="B56"/>
      <x:c r="C56"/>
      <x:c r="D56"/>
      <x:c r="E56"/>
      <x:c r="F56"/>
      <x:c r="G56"/>
      <x:c r="H56"/>
      <x:c r="I56"/>
    </x:row>
    <x:row r="57" ht="42" customHeight="1">
      <x:c r="A57"/>
      <x:c r="B57"/>
      <x:c r="C57"/>
      <x:c r="D57"/>
      <x:c r="E57"/>
      <x:c r="F57"/>
      <x:c r="G57"/>
      <x:c r="H57"/>
      <x:c r="I57"/>
    </x:row>
    <x:row r="58" ht="39" customHeight="1">
      <x:c r="A58"/>
      <x:c r="B58"/>
      <x:c r="C58"/>
      <x:c r="D58"/>
      <x:c r="E58"/>
      <x:c r="F58"/>
      <x:c r="G58"/>
      <x:c r="H58"/>
      <x:c r="I58"/>
    </x:row>
    <x:row r="59" ht="39" customHeight="1">
      <x:c r="A59"/>
      <x:c r="B59"/>
      <x:c r="C59"/>
      <x:c r="D59"/>
      <x:c r="E59"/>
      <x:c r="F59"/>
      <x:c r="G59"/>
      <x:c r="H59"/>
      <x:c r="I59"/>
    </x:row>
    <x:row r="60" ht="39" customHeight="1">
      <x:c r="A60"/>
      <x:c r="B60"/>
      <x:c r="C60"/>
      <x:c r="D60"/>
      <x:c r="E60"/>
      <x:c r="F60"/>
      <x:c r="G60"/>
      <x:c r="H60"/>
      <x:c r="I60"/>
    </x:row>
    <x:row r="61" ht="39" customHeight="1">
      <x:c r="A61"/>
      <x:c r="B61"/>
      <x:c r="C61"/>
      <x:c r="D61"/>
      <x:c r="E61"/>
      <x:c r="F61"/>
      <x:c r="G61"/>
      <x:c r="H61"/>
      <x:c r="I61"/>
    </x:row>
    <x:row r="62">
      <x:c r="A62"/>
      <x:c r="B62"/>
      <x:c r="C62"/>
      <x:c r="D62"/>
      <x:c r="E62"/>
      <x:c r="F62"/>
      <x:c r="G62"/>
      <x:c r="H62"/>
      <x:c r="I62"/>
    </x:row>
    <x:row r="63" ht="28" customHeight="1">
      <x:c r="A63"/>
      <x:c r="B63"/>
      <x:c r="C63"/>
      <x:c r="D63"/>
      <x:c r="E63"/>
      <x:c r="F63"/>
      <x:c r="G63"/>
      <x:c r="H63"/>
      <x:c r="I63"/>
    </x:row>
    <x:row r="64" ht="38" customHeight="1">
      <x:c r="A64"/>
      <x:c r="B64"/>
      <x:c r="C64"/>
      <x:c r="D64"/>
      <x:c r="E64"/>
      <x:c r="F64"/>
      <x:c r="G64"/>
      <x:c r="H64"/>
      <x:c r="I64"/>
    </x:row>
    <x:row r="65" ht="45" customHeight="1">
      <x:c r="A65"/>
      <x:c r="B65"/>
      <x:c r="C65"/>
      <x:c r="D65"/>
      <x:c r="E65"/>
      <x:c r="F65"/>
      <x:c r="G65"/>
      <x:c r="H65"/>
      <x:c r="I65"/>
    </x:row>
    <x:row r="66" ht="45" customHeight="1">
      <x:c r="A66"/>
      <x:c r="B66"/>
      <x:c r="C66"/>
      <x:c r="D66"/>
      <x:c r="E66"/>
      <x:c r="F66"/>
      <x:c r="G66"/>
      <x:c r="H66"/>
      <x:c r="I66"/>
    </x:row>
    <x:row r="67">
      <x:c r="A67"/>
      <x:c r="B67"/>
      <x:c r="C67"/>
      <x:c r="D67"/>
      <x:c r="E67"/>
      <x:c r="F67"/>
      <x:c r="G67"/>
      <x:c r="H67"/>
      <x:c r="I67"/>
    </x:row>
    <x:row r="68" ht="28" customHeight="1">
      <x:c r="A68"/>
      <x:c r="B68"/>
      <x:c r="C68"/>
      <x:c r="D68"/>
      <x:c r="E68"/>
      <x:c r="F68"/>
      <x:c r="G68"/>
      <x:c r="H68"/>
      <x:c r="I68"/>
    </x:row>
    <x:row r="69" ht="53" customHeight="1">
      <x:c r="A69"/>
      <x:c r="B69"/>
      <x:c r="C69"/>
      <x:c r="D69"/>
      <x:c r="E69"/>
      <x:c r="F69"/>
      <x:c r="G69"/>
      <x:c r="H69"/>
      <x:c r="I69"/>
    </x:row>
    <x:row r="70" ht="60" customHeight="1">
      <x:c r="A70"/>
      <x:c r="B70"/>
      <x:c r="C70"/>
      <x:c r="D70"/>
      <x:c r="E70"/>
      <x:c r="F70"/>
      <x:c r="G70"/>
      <x:c r="H70"/>
      <x:c r="I70"/>
    </x:row>
    <x:row r="71" ht="58" customHeight="1">
      <x:c r="A71"/>
      <x:c r="B71"/>
      <x:c r="C71"/>
      <x:c r="D71"/>
      <x:c r="E71"/>
      <x:c r="F71"/>
      <x:c r="G71"/>
      <x:c r="H71"/>
      <x:c r="I71"/>
    </x:row>
    <x:row r="72" ht="31" customHeight="1">
      <x:c r="A72"/>
      <x:c r="B72"/>
      <x:c r="C72"/>
      <x:c r="D72"/>
      <x:c r="E72"/>
      <x:c r="F72"/>
      <x:c r="G72"/>
      <x:c r="H72"/>
      <x:c r="I72"/>
    </x:row>
    <x:row r="73" ht="36" customHeight="1">
      <x:c r="A73"/>
      <x:c r="B73"/>
      <x:c r="C73"/>
      <x:c r="D73"/>
      <x:c r="E73"/>
      <x:c r="F73"/>
      <x:c r="G73"/>
      <x:c r="H73"/>
      <x:c r="I73"/>
    </x:row>
    <x:row r="74">
      <x:c r="A74"/>
      <x:c r="B74"/>
      <x:c r="C74"/>
      <x:c r="D74"/>
      <x:c r="E74"/>
      <x:c r="F74"/>
      <x:c r="G74"/>
      <x:c r="H74"/>
      <x:c r="I74"/>
    </x:row>
    <x:row r="75" ht="30" customHeight="1">
      <x:c r="A75"/>
      <x:c r="B75"/>
      <x:c r="C75"/>
      <x:c r="D75"/>
      <x:c r="E75"/>
      <x:c r="F75"/>
      <x:c r="G75"/>
      <x:c r="H75"/>
      <x:c r="I75"/>
    </x:row>
    <x:row r="76" ht="38" customHeight="1">
      <x:c r="A76"/>
      <x:c r="B76"/>
      <x:c r="C76"/>
      <x:c r="D76"/>
      <x:c r="E76"/>
      <x:c r="F76"/>
      <x:c r="G76"/>
      <x:c r="H76"/>
      <x:c r="I76"/>
    </x:row>
    <x:row r="77" ht="43" customHeight="1">
      <x:c r="A77"/>
      <x:c r="B77"/>
      <x:c r="C77"/>
      <x:c r="D77"/>
      <x:c r="E77"/>
      <x:c r="F77"/>
      <x:c r="G77"/>
      <x:c r="H77"/>
      <x:c r="I77"/>
    </x:row>
    <x:row r="78" ht="43" customHeight="1">
      <x:c r="A78"/>
      <x:c r="B78"/>
      <x:c r="C78"/>
      <x:c r="D78"/>
      <x:c r="E78"/>
      <x:c r="F78"/>
      <x:c r="G78"/>
      <x:c r="H78"/>
      <x:c r="I78"/>
    </x:row>
    <x:row r="79" ht="43" customHeight="1">
      <x:c r="A79"/>
      <x:c r="B79"/>
      <x:c r="C79"/>
      <x:c r="D79"/>
      <x:c r="E79"/>
      <x:c r="F79"/>
      <x:c r="G79"/>
      <x:c r="H79"/>
      <x:c r="I79"/>
    </x:row>
    <x:row r="80">
      <x:c r="A80"/>
      <x:c r="B80"/>
      <x:c r="C80"/>
      <x:c r="D80"/>
      <x:c r="E80"/>
      <x:c r="F80"/>
      <x:c r="G80"/>
      <x:c r="H80"/>
      <x:c r="I80"/>
    </x:row>
    <x:row r="81" ht="53" customHeight="1">
      <x:c r="A81"/>
      <x:c r="B81"/>
      <x:c r="C81"/>
      <x:c r="D81"/>
      <x:c r="E81"/>
      <x:c r="F81"/>
      <x:c r="G81"/>
      <x:c r="H81"/>
      <x:c r="I81"/>
    </x:row>
    <x:row r="82" ht="49" customHeight="1">
      <x:c r="A82"/>
      <x:c r="B82"/>
      <x:c r="C82"/>
      <x:c r="D82"/>
      <x:c r="E82"/>
      <x:c r="F82"/>
      <x:c r="G82"/>
      <x:c r="H82"/>
      <x:c r="I82"/>
    </x:row>
    <x:row r="83" ht="49" customHeight="1">
      <x:c r="A83"/>
      <x:c r="B83"/>
      <x:c r="C83"/>
      <x:c r="D83"/>
      <x:c r="E83"/>
      <x:c r="F83"/>
      <x:c r="G83"/>
      <x:c r="H83"/>
      <x:c r="I83"/>
    </x:row>
    <x:row r="84">
      <x:c r="A84"/>
      <x:c r="B84"/>
      <x:c r="C84"/>
      <x:c r="D84"/>
      <x:c r="E84"/>
      <x:c r="F84"/>
      <x:c r="G84"/>
      <x:c r="H84"/>
      <x:c r="I84"/>
    </x:row>
    <x:row r="85">
      <x:c r="A85"/>
      <x:c r="B85"/>
      <x:c r="C85"/>
      <x:c r="D85"/>
      <x:c r="E85"/>
      <x:c r="F85"/>
      <x:c r="G85"/>
      <x:c r="H85"/>
      <x:c r="I85"/>
    </x:row>
  </x:sheetData>
  <x:mergeCells>
    <x:mergeCell ref="A2:N2"/>
    <x:mergeCell ref="A3:N3"/>
    <x:mergeCell ref="A4:N4"/>
    <x:mergeCell ref="A5:N5"/>
    <x:mergeCell ref="A6:N6"/>
    <x:mergeCell ref="A17:Q17"/>
    <x:mergeCell ref="A18:Q18"/>
    <x:mergeCell ref="A19:Q19"/>
    <x:mergeCell ref="A20:Q20"/>
    <x:mergeCell ref="A21:Q21"/>
    <x:mergeCell ref="A22:Q22"/>
  </x:mergeCells>
  <x:pageMargins left="0.7" right="0.7" top="0.75" bottom="0.75" header="0.3" footer="0.3"/>
</x:worksheet>
</file>